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'06'!$A$1:$U$89</definedName>
    <definedName name="_xlnm.Print_Area" localSheetId="12">'06.1'!$A$1:$T$34</definedName>
    <definedName name="_xlnm.Print_Area" localSheetId="15">'07'!$A$1:$U$89</definedName>
    <definedName name="_xlnm.Print_Area" localSheetId="13">'07.1'!$A$1:$U$33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<sst xmlns="http://schemas.openxmlformats.org/spreadsheetml/2006/main" count="1332" uniqueCount="575">
  <si>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</si>
  <si>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</si>
  <si>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</si>
  <si>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</si>
  <si>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</si>
  <si>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</si>
  <si>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</si>
  <si>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</si>
  <si>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</si>
  <si>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</si>
  <si>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</si>
  <si>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</si>
  <si>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</si>
  <si>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</si>
  <si>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</si>
  <si>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</si>
  <si>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</si>
  <si>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</si>
  <si>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</si>
  <si>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</si>
  <si>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</si>
  <si>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</si>
  <si>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</si>
  <si>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</si>
  <si>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</si>
  <si>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</si>
  <si>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</si>
  <si>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</si>
  <si>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</si>
  <si>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</si>
  <si>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</si>
  <si>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</si>
  <si>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</si>
  <si>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</si>
  <si>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</si>
  <si>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</si>
  <si>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</si>
  <si>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</si>
  <si>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</si>
  <si>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</si>
  <si>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</si>
  <si>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</si>
  <si>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</si>
  <si>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</si>
  <si>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</si>
  <si>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</si>
  <si>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</si>
  <si>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</si>
  <si>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</si>
  <si>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</si>
  <si>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</si>
  <si>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</si>
  <si>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</si>
  <si>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</si>
  <si>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</si>
  <si>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</si>
  <si>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</si>
  <si>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</si>
  <si>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</si>
  <si>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</si>
  <si>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</si>
  <si>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</si>
  <si>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</si>
  <si>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</si>
  <si>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</si>
  <si>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</si>
  <si>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</si>
  <si>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</si>
  <si>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</si>
  <si>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</si>
  <si>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</si>
  <si>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</si>
  <si>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</si>
  <si>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</si>
  <si>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</si>
  <si>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</si>
  <si>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</si>
  <si>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</si>
  <si>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</si>
  <si>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</si>
  <si>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</si>
  <si>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</si>
  <si>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</si>
  <si>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</si>
  <si>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</si>
  <si>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</si>
  <si>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</si>
  <si>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</si>
  <si>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</si>
  <si>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</si>
  <si>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</si>
  <si>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</si>
  <si>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</si>
  <si>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</si>
  <si>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</si>
  <si>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</si>
  <si>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</si>
  <si>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</si>
  <si>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</si>
  <si>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</si>
  <si>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</si>
  <si>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</si>
  <si>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</si>
  <si>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</si>
  <si>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</si>
  <si>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</si>
  <si>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</si>
  <si>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</si>
  <si>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</si>
  <si>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</si>
  <si>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</si>
  <si>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</si>
  <si>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</si>
  <si>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</si>
  <si>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</si>
  <si>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</si>
  <si>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</si>
  <si>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</si>
  <si>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</si>
  <si>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</si>
  <si>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</si>
  <si>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</si>
  <si>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</si>
  <si>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</si>
  <si>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</si>
  <si>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</si>
  <si>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</si>
  <si>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</si>
  <si>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</si>
  <si>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</si>
  <si>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</si>
  <si>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</si>
  <si>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</si>
  <si>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</si>
  <si>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</si>
  <si>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</si>
  <si>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</si>
  <si>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</si>
  <si>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</si>
  <si>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</si>
  <si>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</si>
  <si>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</si>
  <si>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</si>
  <si>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</si>
  <si>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</si>
  <si>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</si>
  <si>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</si>
  <si>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</si>
  <si>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</si>
  <si>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</si>
  <si>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</si>
  <si>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</si>
  <si>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</si>
  <si>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</si>
  <si>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</si>
  <si>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</si>
  <si>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</si>
  <si>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</si>
  <si>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</si>
  <si>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</si>
  <si>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</si>
  <si>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</si>
  <si>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</si>
  <si>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</si>
  <si>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</si>
  <si>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</si>
  <si>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</si>
  <si>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</si>
  <si>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</si>
  <si>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</si>
  <si>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</si>
  <si>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</si>
  <si>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</si>
  <si>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</si>
  <si>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</si>
  <si>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</si>
  <si>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</si>
  <si>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</si>
  <si>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</si>
  <si>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</si>
  <si>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</si>
  <si>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</si>
  <si>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</si>
  <si>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</si>
  <si>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</si>
  <si>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</si>
  <si>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</si>
  <si>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</si>
  <si>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</si>
  <si>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</si>
  <si>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</si>
  <si>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</si>
  <si>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</si>
  <si>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</si>
  <si>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</si>
  <si>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</si>
  <si>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</si>
  <si>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</si>
  <si>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</si>
  <si>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</si>
  <si>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</si>
  <si>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</si>
  <si>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</si>
  <si>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</si>
  <si>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</si>
  <si>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</si>
  <si>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</si>
  <si>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</si>
  <si>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</si>
  <si>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</si>
  <si>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</si>
  <si>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</si>
  <si>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</si>
  <si>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</si>
  <si>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</si>
  <si>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</si>
  <si>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</si>
  <si>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</si>
  <si>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</si>
  <si>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</si>
  <si>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</si>
  <si>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</si>
  <si>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</si>
  <si>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</si>
  <si>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</si>
  <si>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</si>
  <si>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</si>
  <si>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</si>
  <si>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</si>
  <si>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</si>
  <si>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</si>
  <si>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</si>
  <si>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</si>
  <si>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</si>
  <si>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</si>
  <si>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</si>
  <si>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</si>
  <si>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</si>
  <si>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</si>
  <si>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</si>
  <si>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</si>
  <si>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</si>
  <si>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</si>
  <si>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</si>
  <si>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</si>
  <si>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</si>
  <si>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</si>
  <si>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</si>
  <si>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</si>
  <si>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</si>
  <si>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</si>
  <si>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</si>
  <si>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</si>
  <si>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</si>
  <si>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</si>
  <si>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</si>
  <si>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</si>
  <si>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</si>
  <si>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</si>
  <si>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</si>
  <si>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</si>
  <si>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</si>
  <si>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</si>
  <si>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</si>
  <si>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</si>
  <si>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</si>
  <si>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</si>
  <si>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</si>
  <si>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</si>
  <si>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</si>
  <si>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</si>
  <si>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</si>
  <si>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</si>
  <si>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</si>
  <si>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</si>
  <si>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</si>
  <si>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</si>
  <si>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</si>
  <si>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</si>
  <si>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</si>
  <si>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</si>
  <si>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</si>
  <si>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</si>
  <si>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</si>
  <si>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</si>
  <si>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</si>
  <si>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</si>
  <si>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</si>
  <si>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</si>
  <si>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</si>
  <si>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</si>
  <si>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</si>
  <si>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</si>
  <si>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</si>
  <si>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</si>
  <si>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</si>
  <si>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</si>
  <si>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</si>
  <si>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</si>
  <si>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</si>
  <si>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</si>
  <si>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</si>
  <si>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</si>
  <si>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</si>
  <si>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</si>
  <si>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</si>
  <si>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</si>
  <si>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</si>
  <si>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</si>
  <si>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</si>
  <si>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</si>
  <si>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</si>
  <si>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</si>
  <si>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</si>
  <si>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</si>
  <si>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</si>
  <si>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</si>
  <si>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</si>
  <si>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</si>
  <si>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</si>
  <si>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</si>
  <si>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</si>
  <si>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</si>
  <si>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</si>
  <si>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</si>
  <si>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</si>
  <si>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</si>
  <si>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</si>
  <si>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</si>
  <si>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</si>
  <si>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</si>
  <si>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</si>
  <si>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</si>
  <si>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</si>
  <si>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</si>
  <si>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</si>
  <si>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</si>
  <si>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</si>
  <si>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</si>
  <si>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</si>
  <si>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</si>
  <si>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</si>
  <si>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</si>
  <si>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</si>
  <si>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</si>
  <si>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</si>
  <si>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</si>
  <si>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</si>
  <si>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</si>
  <si>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</si>
  <si>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</si>
  <si>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</si>
  <si>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</si>
  <si>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</si>
  <si>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</si>
  <si>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</si>
  <si>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</si>
  <si>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</si>
  <si>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</si>
  <si>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</si>
  <si>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</si>
  <si>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</si>
  <si>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</si>
  <si>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</si>
  <si>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</si>
  <si>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</si>
  <si>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</si>
  <si>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</si>
  <si>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</si>
  <si>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</si>
  <si>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</si>
  <si>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</si>
  <si>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</si>
  <si>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</si>
  <si>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</si>
  <si>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</si>
  <si>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</si>
  <si>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</si>
  <si>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</si>
  <si>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</si>
  <si>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</si>
  <si>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</si>
  <si>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</si>
  <si>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</si>
  <si>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</si>
  <si>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</si>
  <si>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</si>
  <si>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</si>
  <si>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</si>
  <si>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</si>
  <si>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</si>
  <si>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</si>
  <si>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</si>
  <si>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</si>
  <si>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</si>
  <si>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</si>
  <si>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</si>
  <si>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</si>
  <si>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</si>
  <si>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</si>
  <si>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</si>
  <si>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</si>
  <si>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</si>
  <si>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</si>
  <si>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</si>
  <si>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</si>
  <si>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</si>
  <si>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</si>
  <si>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</si>
  <si>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</si>
  <si>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</si>
  <si>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</si>
  <si>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</si>
  <si>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</si>
  <si>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</si>
  <si>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</si>
  <si>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</si>
  <si>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</si>
  <si>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</si>
  <si>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</si>
  <si>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</si>
  <si>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</si>
  <si>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</si>
  <si>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</si>
  <si>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</si>
  <si>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</si>
  <si>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</si>
  <si>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</si>
  <si>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</si>
  <si>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</si>
  <si>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</si>
  <si>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</si>
  <si>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</si>
  <si>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</si>
  <si>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</si>
  <si>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</si>
  <si>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</si>
  <si>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</si>
  <si>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</si>
  <si>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</si>
  <si>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</si>
  <si>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</si>
  <si>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</si>
  <si>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</si>
  <si>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</si>
  <si>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</si>
  <si>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</si>
  <si>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</si>
  <si>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</si>
  <si>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</si>
  <si>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</si>
  <si>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</si>
  <si>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</si>
  <si>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</si>
  <si>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</si>
  <si>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</si>
  <si>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</si>
  <si>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</si>
  <si>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</si>
  <si>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</si>
  <si>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</si>
  <si>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</si>
  <si>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</si>
  <si>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</si>
  <si>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</si>
  <si>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</si>
  <si>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</si>
  <si>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</si>
  <si>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</si>
  <si>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</si>
  <si>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</si>
  <si>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</si>
  <si>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</si>
  <si>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</si>
  <si>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</si>
  <si>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</si>
  <si>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</si>
  <si>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</si>
  <si>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</si>
  <si>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</si>
  <si>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</si>
  <si>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</si>
  <si>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</si>
  <si>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</si>
  <si>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</si>
  <si>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</si>
  <si>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</si>
  <si>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</si>
  <si>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</si>
  <si>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</si>
  <si>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</si>
  <si>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</si>
  <si>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</si>
  <si>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</si>
  <si>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</si>
  <si>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</si>
  <si>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</si>
  <si>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</si>
  <si>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</si>
  <si>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</si>
  <si>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</si>
  <si>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</si>
  <si>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</si>
  <si>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</si>
  <si>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</si>
  <si>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</si>
  <si>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</si>
  <si>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</si>
  <si>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</si>
  <si>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</si>
  <si>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</si>
  <si>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</si>
  <si>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</si>
  <si>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</si>
  <si>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</si>
  <si>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</si>
  <si>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</si>
  <si>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</si>
  <si>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</si>
  <si>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Thi hành 
xong</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</si>
  <si>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</si>
  <si>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</si>
  <si>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</si>
  <si>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</si>
  <si>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</si>
  <si>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</si>
  <si>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</si>
  <si>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</si>
  <si>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</si>
  <si>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</si>
  <si>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</si>
  <si>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</si>
  <si>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</si>
  <si>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</si>
  <si>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</si>
  <si>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</si>
  <si>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Đặng  Văn Hưởng</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</si>
  <si>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</si>
  <si>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</si>
  <si>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</si>
  <si>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</si>
  <si>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</si>
  <si>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</si>
  <si>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</si>
  <si>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</si>
  <si>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</si>
  <si>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</si>
  <si>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</si>
  <si>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</si>
  <si>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</si>
  <si>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</si>
  <si>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</si>
  <si>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</si>
  <si>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</si>
  <si>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</si>
  <si>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</si>
  <si>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</si>
  <si>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</si>
  <si>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</si>
  <si>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</si>
  <si>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</si>
  <si>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</si>
  <si>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</si>
  <si>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</si>
  <si>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</si>
  <si>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</si>
  <si>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 xml:space="preserve"> Nguyễn Văn Liệt</t>
  </si>
  <si>
    <t>Huỳnh Công Thành</t>
  </si>
  <si>
    <t>Lâm Thị Bé Ba</t>
  </si>
  <si>
    <t>12341</t>
  </si>
  <si>
    <t>3851</t>
  </si>
  <si>
    <t>11 tháng / năm 2019</t>
  </si>
  <si>
    <t>Trần Thị Thu Hiền</t>
  </si>
  <si>
    <t>Thạch Chanh Đa Ra</t>
  </si>
  <si>
    <r>
      <rPr>
        <sz val="12"/>
        <color indexed="10"/>
        <rFont val="Times New Roman"/>
        <family val="1"/>
      </rPr>
      <t>Trà Vinh</t>
    </r>
    <r>
      <rPr>
        <sz val="12"/>
        <rFont val="Times New Roman"/>
        <family val="1"/>
      </rPr>
      <t xml:space="preserve">, ngày </t>
    </r>
    <r>
      <rPr>
        <sz val="12"/>
        <color indexed="10"/>
        <rFont val="Times New Roman"/>
        <family val="1"/>
      </rPr>
      <t>03</t>
    </r>
    <r>
      <rPr>
        <sz val="12"/>
        <rFont val="Times New Roman"/>
        <family val="1"/>
      </rPr>
      <t xml:space="preserve"> tháng 9  năm 2019</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</si>
</sst>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7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sz val="6"/>
      <color indexed="8"/>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10"/>
      <color indexed="8"/>
      <name val="Times New Roman"/>
      <family val="1"/>
    </font>
    <font>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b/>
      <sz val="7"/>
      <color indexed="10"/>
      <name val="Times New Roman"/>
      <family val="1"/>
    </font>
    <font>
      <i/>
      <sz val="5"/>
      <color indexed="10"/>
      <name val="Times New Roman"/>
      <family val="1"/>
    </font>
    <font>
      <b/>
      <sz val="8"/>
      <color indexed="10"/>
      <name val="Times New Roman"/>
      <family val="1"/>
    </font>
    <font>
      <b/>
      <i/>
      <sz val="5"/>
      <color indexed="10"/>
      <name val="Times New Roman"/>
      <family val="1"/>
    </font>
    <font>
      <sz val="8"/>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b/>
      <sz val="7"/>
      <color rgb="FFFF0000"/>
      <name val="Times New Roman"/>
      <family val="1"/>
    </font>
    <font>
      <i/>
      <sz val="5"/>
      <color rgb="FFFF0000"/>
      <name val="Times New Roman"/>
      <family val="1"/>
    </font>
    <font>
      <sz val="11"/>
      <color rgb="FFFF0000"/>
      <name val="Times New Roman"/>
      <family val="1"/>
    </font>
    <font>
      <b/>
      <sz val="8"/>
      <color rgb="FFFF0000"/>
      <name val="Times New Roman"/>
      <family val="1"/>
    </font>
    <font>
      <sz val="8"/>
      <color rgb="FF000000"/>
      <name val="Times New Roman"/>
      <family val="1"/>
    </font>
    <font>
      <sz val="6"/>
      <color rgb="FF000000"/>
      <name val="Times New Roman"/>
      <family val="1"/>
    </font>
    <font>
      <sz val="8"/>
      <color theme="1"/>
      <name val="Times New Roman"/>
      <family val="1"/>
    </font>
    <font>
      <sz val="8"/>
      <color rgb="FFC00000"/>
      <name val="Times New Roman"/>
      <family val="1"/>
    </font>
    <font>
      <sz val="6"/>
      <color theme="1"/>
      <name val="Times New Roman"/>
      <family val="1"/>
    </font>
    <font>
      <b/>
      <i/>
      <sz val="9"/>
      <color rgb="FFFF0000"/>
      <name val="Times New Roman"/>
      <family val="1"/>
    </font>
    <font>
      <b/>
      <i/>
      <sz val="5"/>
      <color rgb="FFFF000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1"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1"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1"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1"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1"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1"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1"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1"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2"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2"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2"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2"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2"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2"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2"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2"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2"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2"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3"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4" fillId="37" borderId="1" applyNumberFormat="0" applyAlignment="0" applyProtection="0"/>
    <xf numFmtId="0" fontId="38" fillId="38" borderId="2" applyNumberFormat="0" applyAlignment="0" applyProtection="0"/>
    <xf numFmtId="0" fontId="38" fillId="38" borderId="2" applyNumberFormat="0" applyAlignment="0" applyProtection="0"/>
    <xf numFmtId="0" fontId="145"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8"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9"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1"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2" fillId="42" borderId="1" applyNumberFormat="0" applyAlignment="0" applyProtection="0"/>
    <xf numFmtId="0" fontId="45" fillId="9" borderId="2" applyNumberFormat="0" applyAlignment="0" applyProtection="0"/>
    <xf numFmtId="0" fontId="45" fillId="9" borderId="2" applyNumberFormat="0" applyAlignment="0" applyProtection="0"/>
    <xf numFmtId="0" fontId="153"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4"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5"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6" fillId="0" borderId="0" applyFont="0" applyFill="0" applyBorder="0" applyAlignment="0" applyProtection="0"/>
    <xf numFmtId="0" fontId="15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7"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29">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2"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3"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1" fillId="3" borderId="20" xfId="145" applyNumberFormat="1" applyFont="1" applyFill="1" applyBorder="1" applyAlignment="1">
      <alignment vertical="center"/>
      <protection/>
    </xf>
    <xf numFmtId="3" fontId="56" fillId="3" borderId="20" xfId="145" applyNumberFormat="1" applyFont="1" applyFill="1" applyBorder="1" applyAlignment="1">
      <alignment vertical="center"/>
      <protection/>
    </xf>
    <xf numFmtId="49" fontId="57"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8" fillId="48" borderId="20" xfId="145" applyNumberFormat="1" applyFont="1" applyFill="1" applyBorder="1" applyAlignment="1">
      <alignment vertical="center"/>
      <protection/>
    </xf>
    <xf numFmtId="3" fontId="28"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8" fillId="0" borderId="0" xfId="145" applyNumberFormat="1" applyFont="1" applyFill="1" applyBorder="1" applyAlignment="1">
      <alignment horizontal="center" wrapText="1"/>
      <protection/>
    </xf>
    <xf numFmtId="49" fontId="58" fillId="0" borderId="0" xfId="145" applyNumberFormat="1" applyFont="1" applyBorder="1">
      <alignment/>
      <protection/>
    </xf>
    <xf numFmtId="49" fontId="59"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0"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1" fillId="0" borderId="0" xfId="145" applyNumberFormat="1" applyFont="1" applyBorder="1">
      <alignment/>
      <protection/>
    </xf>
    <xf numFmtId="49" fontId="62" fillId="0" borderId="0" xfId="145" applyNumberFormat="1" applyFont="1" applyBorder="1" applyAlignment="1">
      <alignment wrapText="1"/>
      <protection/>
    </xf>
    <xf numFmtId="49" fontId="2" fillId="0" borderId="0" xfId="145" applyNumberFormat="1" applyFont="1" applyBorder="1">
      <alignment/>
      <protection/>
    </xf>
    <xf numFmtId="49" fontId="39" fillId="0" borderId="0" xfId="145" applyNumberFormat="1" applyFont="1" applyBorder="1" applyAlignment="1">
      <alignment horizontal="center" wrapText="1"/>
      <protection/>
    </xf>
    <xf numFmtId="49" fontId="39" fillId="0" borderId="0" xfId="145" applyNumberFormat="1" applyFont="1" applyFill="1" applyBorder="1" applyAlignment="1">
      <alignment horizontal="center" wrapText="1"/>
      <protection/>
    </xf>
    <xf numFmtId="49" fontId="63" fillId="0" borderId="0" xfId="145" applyNumberFormat="1" applyFont="1" applyBorder="1">
      <alignment/>
      <protection/>
    </xf>
    <xf numFmtId="49" fontId="28" fillId="0" borderId="0" xfId="145" applyNumberFormat="1" applyFont="1">
      <alignment/>
      <protection/>
    </xf>
    <xf numFmtId="49" fontId="28" fillId="0" borderId="0" xfId="145" applyNumberFormat="1" applyFont="1" applyFill="1">
      <alignment/>
      <protection/>
    </xf>
    <xf numFmtId="49" fontId="28"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5" fillId="0" borderId="0" xfId="145" applyFont="1" applyAlignment="1">
      <alignment/>
      <protection/>
    </xf>
    <xf numFmtId="0" fontId="3" fillId="0" borderId="0" xfId="145" applyFont="1" applyAlignment="1">
      <alignment/>
      <protection/>
    </xf>
    <xf numFmtId="49" fontId="30"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29" fillId="3" borderId="20" xfId="145" applyNumberFormat="1" applyFont="1" applyFill="1" applyBorder="1" applyAlignment="1">
      <alignment horizontal="center" vertical="center" wrapText="1"/>
      <protection/>
    </xf>
    <xf numFmtId="3" fontId="68"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69"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1"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3"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8"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8" fillId="0" borderId="0" xfId="145" applyNumberFormat="1" applyFont="1" applyAlignment="1">
      <alignment wrapText="1"/>
      <protection/>
    </xf>
    <xf numFmtId="49" fontId="36" fillId="0" borderId="0" xfId="145" applyNumberFormat="1" applyFont="1">
      <alignment/>
      <protection/>
    </xf>
    <xf numFmtId="49" fontId="36" fillId="0" borderId="0" xfId="145" applyNumberFormat="1" applyFont="1" applyAlignment="1">
      <alignment wrapText="1"/>
      <protection/>
    </xf>
    <xf numFmtId="49" fontId="3" fillId="47" borderId="0" xfId="145" applyNumberFormat="1" applyFont="1" applyFill="1" applyAlignment="1">
      <alignment/>
      <protection/>
    </xf>
    <xf numFmtId="49" fontId="71"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6"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6" fillId="0" borderId="0" xfId="147" applyNumberFormat="1" applyFont="1" applyFill="1">
      <alignment/>
      <protection/>
    </xf>
    <xf numFmtId="49" fontId="26"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8" fillId="0" borderId="0" xfId="147" applyNumberFormat="1" applyFont="1" applyBorder="1" applyAlignment="1">
      <alignment/>
      <protection/>
    </xf>
    <xf numFmtId="49" fontId="78"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8" fillId="0" borderId="0" xfId="147" applyNumberFormat="1" applyFont="1" applyAlignment="1">
      <alignment horizontal="center"/>
      <protection/>
    </xf>
    <xf numFmtId="49" fontId="28" fillId="0" borderId="0" xfId="147" applyNumberFormat="1" applyFont="1">
      <alignment/>
      <protection/>
    </xf>
    <xf numFmtId="49" fontId="78" fillId="0" borderId="0" xfId="147" applyNumberFormat="1" applyFont="1" applyAlignment="1">
      <alignment horizontal="center"/>
      <protection/>
    </xf>
    <xf numFmtId="49" fontId="13" fillId="0" borderId="0" xfId="147" applyNumberFormat="1" applyFont="1" applyBorder="1" applyAlignment="1">
      <alignment wrapText="1"/>
      <protection/>
    </xf>
    <xf numFmtId="49" fontId="80" fillId="0" borderId="0" xfId="147" applyNumberFormat="1" applyFont="1">
      <alignment/>
      <protection/>
    </xf>
    <xf numFmtId="9" fontId="26" fillId="0" borderId="0" xfId="154" applyFont="1" applyAlignment="1">
      <alignment/>
    </xf>
    <xf numFmtId="3" fontId="0" fillId="47" borderId="0" xfId="147" applyNumberFormat="1" applyFont="1" applyFill="1" applyBorder="1" applyAlignment="1">
      <alignment/>
      <protection/>
    </xf>
    <xf numFmtId="0" fontId="26"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6"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6" fillId="0" borderId="0" xfId="154" applyFont="1" applyAlignment="1">
      <alignment vertical="center"/>
    </xf>
    <xf numFmtId="0" fontId="5" fillId="0" borderId="23" xfId="147" applyFont="1" applyBorder="1" applyAlignment="1">
      <alignment horizontal="center" vertical="center"/>
      <protection/>
    </xf>
    <xf numFmtId="0" fontId="26"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8" fillId="0" borderId="0" xfId="147" applyFont="1" applyBorder="1" applyAlignment="1">
      <alignment wrapText="1"/>
      <protection/>
    </xf>
    <xf numFmtId="0" fontId="25" fillId="0" borderId="0" xfId="147" applyNumberFormat="1" applyFont="1" applyBorder="1" applyAlignment="1">
      <alignment/>
      <protection/>
    </xf>
    <xf numFmtId="0" fontId="78"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8"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29" fillId="3" borderId="20" xfId="147" applyNumberFormat="1" applyFont="1" applyFill="1" applyBorder="1" applyAlignment="1">
      <alignment horizontal="center" vertical="center"/>
      <protection/>
    </xf>
    <xf numFmtId="3" fontId="68" fillId="3" borderId="20" xfId="147" applyNumberFormat="1" applyFont="1" applyFill="1" applyBorder="1" applyAlignment="1">
      <alignment horizontal="center" vertical="center"/>
      <protection/>
    </xf>
    <xf numFmtId="3" fontId="29"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6" fillId="0" borderId="0" xfId="147" applyNumberFormat="1" applyFont="1">
      <alignment/>
      <protection/>
    </xf>
    <xf numFmtId="49" fontId="26" fillId="0" borderId="0" xfId="147" applyNumberFormat="1">
      <alignment/>
      <protection/>
    </xf>
    <xf numFmtId="49" fontId="28" fillId="0" borderId="0" xfId="147" applyNumberFormat="1" applyFont="1" applyBorder="1" applyAlignment="1">
      <alignment wrapText="1"/>
      <protection/>
    </xf>
    <xf numFmtId="49" fontId="21" fillId="0" borderId="0" xfId="147" applyNumberFormat="1" applyFont="1">
      <alignment/>
      <protection/>
    </xf>
    <xf numFmtId="49" fontId="30" fillId="0" borderId="0" xfId="147" applyNumberFormat="1" applyFont="1">
      <alignment/>
      <protection/>
    </xf>
    <xf numFmtId="49" fontId="30"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6" fillId="0" borderId="24" xfId="147" applyFont="1" applyBorder="1">
      <alignment/>
      <protection/>
    </xf>
    <xf numFmtId="0" fontId="26"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4"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8" fillId="0" borderId="0" xfId="147" applyNumberFormat="1" applyFont="1" applyBorder="1" applyAlignment="1">
      <alignment/>
      <protection/>
    </xf>
    <xf numFmtId="0" fontId="87" fillId="0" borderId="0" xfId="147" applyFont="1">
      <alignment/>
      <protection/>
    </xf>
    <xf numFmtId="0" fontId="16" fillId="0" borderId="0" xfId="147" applyFont="1">
      <alignment/>
      <protection/>
    </xf>
    <xf numFmtId="0" fontId="27" fillId="0" borderId="0" xfId="147" applyFont="1">
      <alignment/>
      <protection/>
    </xf>
    <xf numFmtId="0" fontId="13" fillId="0" borderId="0" xfId="147" applyFont="1">
      <alignment/>
      <protection/>
    </xf>
    <xf numFmtId="49" fontId="13" fillId="0" borderId="0" xfId="147" applyNumberFormat="1" applyFont="1">
      <alignment/>
      <protection/>
    </xf>
    <xf numFmtId="0" fontId="80" fillId="0" borderId="0" xfId="147" applyFont="1">
      <alignment/>
      <protection/>
    </xf>
    <xf numFmtId="49" fontId="18" fillId="0" borderId="0" xfId="147" applyNumberFormat="1" applyFont="1" applyBorder="1" applyAlignment="1">
      <alignment/>
      <protection/>
    </xf>
    <xf numFmtId="49" fontId="26"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6" fillId="0" borderId="0" xfId="147" applyNumberFormat="1" applyFill="1">
      <alignment/>
      <protection/>
    </xf>
    <xf numFmtId="49" fontId="26" fillId="0" borderId="0" xfId="147" applyNumberFormat="1" applyFill="1" applyAlignment="1">
      <alignment vertical="center" wrapText="1"/>
      <protection/>
    </xf>
    <xf numFmtId="49" fontId="26"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6"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6" fillId="0" borderId="20" xfId="147" applyNumberFormat="1" applyFont="1" applyFill="1" applyBorder="1" applyAlignment="1">
      <alignment horizontal="center" vertical="center"/>
      <protection/>
    </xf>
    <xf numFmtId="49" fontId="26" fillId="0" borderId="0" xfId="147" applyNumberFormat="1" applyAlignment="1">
      <alignment horizontal="center"/>
      <protection/>
    </xf>
    <xf numFmtId="49" fontId="71" fillId="0" borderId="0" xfId="147" applyNumberFormat="1" applyFont="1" applyAlignment="1">
      <alignment horizontal="left"/>
      <protection/>
    </xf>
    <xf numFmtId="49" fontId="30"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6" fillId="47" borderId="0" xfId="147" applyNumberFormat="1" applyFont="1" applyFill="1" applyAlignment="1">
      <alignment vertical="center"/>
      <protection/>
    </xf>
    <xf numFmtId="3" fontId="26" fillId="47" borderId="20" xfId="147" applyNumberFormat="1" applyFont="1" applyFill="1" applyBorder="1" applyAlignment="1">
      <alignment horizontal="center" vertical="center"/>
      <protection/>
    </xf>
    <xf numFmtId="3" fontId="90"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6" fillId="0" borderId="19" xfId="147" applyNumberFormat="1" applyFont="1" applyFill="1" applyBorder="1" applyAlignment="1">
      <alignment vertical="center"/>
      <protection/>
    </xf>
    <xf numFmtId="3" fontId="91" fillId="0" borderId="19" xfId="147" applyNumberFormat="1" applyFont="1" applyFill="1" applyBorder="1" applyAlignment="1">
      <alignment vertical="center"/>
      <protection/>
    </xf>
    <xf numFmtId="49" fontId="30" fillId="0" borderId="0" xfId="147" applyNumberFormat="1" applyFont="1" applyBorder="1" applyAlignment="1">
      <alignment/>
      <protection/>
    </xf>
    <xf numFmtId="49" fontId="28" fillId="0" borderId="0" xfId="147" applyNumberFormat="1" applyFont="1" applyBorder="1" applyAlignment="1">
      <alignment horizontal="center"/>
      <protection/>
    </xf>
    <xf numFmtId="49" fontId="28" fillId="0" borderId="0" xfId="147" applyNumberFormat="1" applyFont="1" applyAlignment="1">
      <alignment/>
      <protection/>
    </xf>
    <xf numFmtId="0" fontId="5" fillId="47" borderId="0" xfId="147" applyFont="1" applyFill="1" applyBorder="1" applyAlignment="1">
      <alignment/>
      <protection/>
    </xf>
    <xf numFmtId="49" fontId="92" fillId="0" borderId="0" xfId="147" applyNumberFormat="1" applyFont="1">
      <alignment/>
      <protection/>
    </xf>
    <xf numFmtId="49" fontId="93" fillId="0" borderId="0" xfId="147" applyNumberFormat="1" applyFont="1">
      <alignment/>
      <protection/>
    </xf>
    <xf numFmtId="49" fontId="94" fillId="0" borderId="0" xfId="147" applyNumberFormat="1" applyFont="1" applyAlignment="1">
      <alignment horizontal="center"/>
      <protection/>
    </xf>
    <xf numFmtId="49" fontId="25" fillId="47" borderId="0" xfId="145" applyNumberFormat="1" applyFont="1" applyFill="1" applyAlignment="1">
      <alignment/>
      <protection/>
    </xf>
    <xf numFmtId="49" fontId="79" fillId="0" borderId="0" xfId="147" applyNumberFormat="1" applyFont="1">
      <alignment/>
      <protection/>
    </xf>
    <xf numFmtId="49" fontId="30" fillId="0" borderId="0" xfId="147" applyNumberFormat="1" applyFont="1" applyBorder="1" applyAlignment="1">
      <alignment wrapText="1"/>
      <protection/>
    </xf>
    <xf numFmtId="49" fontId="82" fillId="0" borderId="0" xfId="147" applyNumberFormat="1" applyFont="1">
      <alignment/>
      <protection/>
    </xf>
    <xf numFmtId="49" fontId="77"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5" fillId="0" borderId="0" xfId="147" applyNumberFormat="1" applyFont="1" applyFill="1">
      <alignment/>
      <protection/>
    </xf>
    <xf numFmtId="49" fontId="26"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1" fillId="0" borderId="0" xfId="147" applyNumberFormat="1" applyFont="1" applyFill="1">
      <alignment/>
      <protection/>
    </xf>
    <xf numFmtId="49" fontId="81"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8"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1" fillId="0" borderId="0" xfId="147" applyFont="1" applyAlignment="1">
      <alignment horizontal="center"/>
      <protection/>
    </xf>
    <xf numFmtId="49" fontId="51" fillId="0" borderId="0" xfId="147" applyNumberFormat="1" applyFont="1">
      <alignment/>
      <protection/>
    </xf>
    <xf numFmtId="49" fontId="96" fillId="0" borderId="0" xfId="147" applyNumberFormat="1" applyFont="1" applyBorder="1" applyAlignment="1">
      <alignment wrapText="1"/>
      <protection/>
    </xf>
    <xf numFmtId="0" fontId="30"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3"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3"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3" applyNumberFormat="1" applyFont="1" applyFill="1" applyBorder="1" applyAlignment="1" applyProtection="1">
      <alignment horizontal="center" vertical="center"/>
      <protection/>
    </xf>
    <xf numFmtId="10" fontId="28" fillId="0" borderId="20" xfId="135" applyNumberFormat="1" applyFont="1" applyFill="1" applyBorder="1" applyAlignment="1">
      <alignment horizontal="center" vertical="center"/>
      <protection/>
    </xf>
    <xf numFmtId="10" fontId="51"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5" applyNumberFormat="1" applyFont="1" applyFill="1" applyBorder="1" applyAlignment="1">
      <alignment horizontal="center" vertical="center"/>
      <protection/>
    </xf>
    <xf numFmtId="3" fontId="56" fillId="47" borderId="20" xfId="143"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3" applyNumberFormat="1" applyFont="1" applyFill="1" applyBorder="1" applyAlignment="1" applyProtection="1">
      <alignment horizontal="center" vertical="center"/>
      <protection/>
    </xf>
    <xf numFmtId="10" fontId="56"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59" fillId="49" borderId="20" xfId="0" applyFont="1" applyFill="1" applyBorder="1" applyAlignment="1">
      <alignment/>
    </xf>
    <xf numFmtId="0" fontId="0" fillId="49" borderId="38" xfId="0" applyFont="1" applyFill="1" applyBorder="1" applyAlignment="1">
      <alignment/>
    </xf>
    <xf numFmtId="49" fontId="100"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60" fillId="47" borderId="0" xfId="0" applyNumberFormat="1" applyFont="1" applyFill="1" applyBorder="1" applyAlignment="1">
      <alignment horizontal="center" vertical="center"/>
    </xf>
    <xf numFmtId="49" fontId="161" fillId="50" borderId="0" xfId="0" applyNumberFormat="1" applyFont="1" applyFill="1" applyBorder="1" applyAlignment="1" applyProtection="1">
      <alignment horizontal="center" vertical="center"/>
      <protection/>
    </xf>
    <xf numFmtId="49" fontId="161"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59" fillId="50" borderId="0" xfId="0" applyNumberFormat="1" applyFont="1" applyFill="1" applyAlignment="1">
      <alignment/>
    </xf>
    <xf numFmtId="49" fontId="103" fillId="50" borderId="20" xfId="0" applyNumberFormat="1" applyFont="1" applyFill="1" applyBorder="1" applyAlignment="1" applyProtection="1">
      <alignment vertical="center"/>
      <protection/>
    </xf>
    <xf numFmtId="49" fontId="103" fillId="50" borderId="20" xfId="0" applyNumberFormat="1" applyFont="1" applyFill="1" applyBorder="1" applyAlignment="1" applyProtection="1">
      <alignment horizontal="center" vertical="center"/>
      <protection/>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3" fontId="162" fillId="0" borderId="0" xfId="0" applyNumberFormat="1" applyFont="1" applyFill="1" applyAlignment="1">
      <alignment wrapText="1"/>
    </xf>
    <xf numFmtId="0" fontId="162" fillId="0" borderId="0" xfId="0" applyNumberFormat="1" applyFont="1" applyFill="1" applyAlignment="1">
      <alignment/>
    </xf>
    <xf numFmtId="3" fontId="162" fillId="0" borderId="0" xfId="0" applyNumberFormat="1" applyFont="1" applyFill="1" applyAlignment="1">
      <alignment/>
    </xf>
    <xf numFmtId="0" fontId="163" fillId="0" borderId="0" xfId="0" applyNumberFormat="1" applyFont="1" applyFill="1" applyAlignment="1">
      <alignment horizontal="center"/>
    </xf>
    <xf numFmtId="0" fontId="100" fillId="0" borderId="0" xfId="0" applyNumberFormat="1" applyFont="1" applyFill="1" applyAlignment="1">
      <alignment/>
    </xf>
    <xf numFmtId="0" fontId="164" fillId="0" borderId="0" xfId="0" applyNumberFormat="1" applyFont="1" applyFill="1" applyAlignment="1">
      <alignment horizontal="center"/>
    </xf>
    <xf numFmtId="3" fontId="159" fillId="0" borderId="0" xfId="0" applyNumberFormat="1" applyFont="1" applyFill="1" applyAlignment="1">
      <alignment/>
    </xf>
    <xf numFmtId="3" fontId="28"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3" fillId="50" borderId="0" xfId="0" applyNumberFormat="1" applyFont="1" applyFill="1" applyAlignment="1">
      <alignment horizontal="center"/>
    </xf>
    <xf numFmtId="0" fontId="23" fillId="50" borderId="0" xfId="0" applyNumberFormat="1" applyFont="1" applyFill="1" applyBorder="1" applyAlignment="1">
      <alignment horizontal="center" vertical="center"/>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3" fontId="18" fillId="50" borderId="0" xfId="0" applyNumberFormat="1" applyFont="1" applyFill="1" applyBorder="1" applyAlignment="1">
      <alignment horizontal="center" vertical="center"/>
    </xf>
    <xf numFmtId="49" fontId="0" fillId="50" borderId="0" xfId="0" applyNumberFormat="1" applyFont="1" applyFill="1" applyBorder="1" applyAlignment="1">
      <alignment wrapText="1"/>
    </xf>
    <xf numFmtId="49" fontId="0" fillId="50" borderId="0" xfId="0" applyNumberFormat="1" applyFont="1" applyFill="1" applyBorder="1" applyAlignment="1">
      <alignment/>
    </xf>
    <xf numFmtId="49" fontId="105" fillId="0" borderId="20"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lignment horizontal="center" vertical="center" wrapText="1"/>
    </xf>
    <xf numFmtId="49" fontId="107" fillId="0" borderId="20" xfId="0" applyNumberFormat="1" applyFont="1" applyFill="1" applyBorder="1" applyAlignment="1" applyProtection="1">
      <alignment horizontal="center" vertical="center"/>
      <protection/>
    </xf>
    <xf numFmtId="49" fontId="107" fillId="0" borderId="26" xfId="0" applyNumberFormat="1" applyFont="1" applyFill="1" applyBorder="1" applyAlignment="1" applyProtection="1">
      <alignment horizontal="center" vertical="center"/>
      <protection/>
    </xf>
    <xf numFmtId="210" fontId="165" fillId="50" borderId="26" xfId="0" applyNumberFormat="1" applyFont="1" applyFill="1" applyBorder="1" applyAlignment="1">
      <alignment horizontal="right" vertical="center"/>
    </xf>
    <xf numFmtId="49" fontId="165" fillId="50" borderId="20" xfId="0" applyNumberFormat="1" applyFont="1" applyFill="1" applyBorder="1" applyAlignment="1" applyProtection="1">
      <alignment horizontal="center" vertical="center"/>
      <protection/>
    </xf>
    <xf numFmtId="49" fontId="165" fillId="50" borderId="20" xfId="0" applyNumberFormat="1" applyFont="1" applyFill="1" applyBorder="1" applyAlignment="1" applyProtection="1">
      <alignment vertical="center"/>
      <protection/>
    </xf>
    <xf numFmtId="194" fontId="103" fillId="50" borderId="20" xfId="0" applyNumberFormat="1" applyFont="1" applyFill="1" applyBorder="1" applyAlignment="1" applyProtection="1">
      <alignment horizontal="right" vertical="center"/>
      <protection/>
    </xf>
    <xf numFmtId="194" fontId="165" fillId="50" borderId="20" xfId="0" applyNumberFormat="1" applyFont="1" applyFill="1" applyBorder="1" applyAlignment="1">
      <alignment horizontal="right"/>
    </xf>
    <xf numFmtId="210" fontId="103" fillId="50" borderId="26" xfId="0" applyNumberFormat="1" applyFont="1" applyFill="1" applyBorder="1" applyAlignment="1">
      <alignment horizontal="right" vertical="center"/>
    </xf>
    <xf numFmtId="210" fontId="103" fillId="50" borderId="20" xfId="0" applyNumberFormat="1" applyFont="1" applyFill="1" applyBorder="1" applyAlignment="1">
      <alignment horizontal="right" vertical="center"/>
    </xf>
    <xf numFmtId="194" fontId="165" fillId="50" borderId="20" xfId="0" applyNumberFormat="1" applyFont="1" applyFill="1" applyBorder="1" applyAlignment="1">
      <alignment horizontal="right" vertical="center"/>
    </xf>
    <xf numFmtId="49" fontId="103" fillId="50" borderId="20" xfId="138" applyNumberFormat="1" applyFont="1" applyFill="1" applyBorder="1" applyAlignment="1" applyProtection="1">
      <alignment vertical="center"/>
      <protection/>
    </xf>
    <xf numFmtId="0" fontId="103" fillId="50" borderId="20" xfId="138" applyFont="1" applyFill="1" applyBorder="1" applyAlignment="1">
      <alignment horizontal="left" vertical="center"/>
      <protection/>
    </xf>
    <xf numFmtId="41" fontId="103" fillId="47" borderId="20" xfId="0" applyNumberFormat="1" applyFont="1" applyFill="1" applyBorder="1" applyAlignment="1" applyProtection="1">
      <alignment horizontal="center" vertical="center"/>
      <protection/>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10" fillId="0" borderId="21" xfId="0" applyNumberFormat="1" applyFont="1" applyFill="1" applyBorder="1" applyAlignment="1" applyProtection="1">
      <alignment horizontal="center" vertical="center"/>
      <protection/>
    </xf>
    <xf numFmtId="10" fontId="100" fillId="0" borderId="20" xfId="157" applyNumberFormat="1" applyFont="1" applyFill="1" applyBorder="1" applyAlignment="1">
      <alignment/>
    </xf>
    <xf numFmtId="49" fontId="166" fillId="50" borderId="20" xfId="0" applyNumberFormat="1" applyFont="1" applyFill="1" applyBorder="1" applyAlignment="1" applyProtection="1">
      <alignment horizontal="center" vertical="center"/>
      <protection/>
    </xf>
    <xf numFmtId="49" fontId="100" fillId="50" borderId="20" xfId="0" applyNumberFormat="1" applyFont="1" applyFill="1" applyBorder="1" applyAlignment="1" applyProtection="1">
      <alignment horizontal="center" vertical="center"/>
      <protection/>
    </xf>
    <xf numFmtId="49" fontId="18" fillId="50" borderId="0" xfId="0" applyNumberFormat="1" applyFont="1" applyFill="1" applyBorder="1" applyAlignment="1">
      <alignment/>
    </xf>
    <xf numFmtId="210" fontId="105" fillId="50" borderId="20" xfId="0" applyNumberFormat="1" applyFont="1" applyFill="1" applyBorder="1" applyAlignment="1">
      <alignment horizontal="center" vertical="center"/>
    </xf>
    <xf numFmtId="194" fontId="105" fillId="50" borderId="20" xfId="0" applyNumberFormat="1" applyFont="1" applyFill="1" applyBorder="1" applyAlignment="1" applyProtection="1">
      <alignment horizontal="center" vertical="center"/>
      <protection/>
    </xf>
    <xf numFmtId="49" fontId="167" fillId="50" borderId="20" xfId="0" applyNumberFormat="1" applyFont="1" applyFill="1" applyBorder="1" applyAlignment="1" applyProtection="1">
      <alignment horizontal="center" vertical="center"/>
      <protection/>
    </xf>
    <xf numFmtId="49" fontId="111" fillId="50" borderId="20" xfId="0" applyNumberFormat="1" applyFont="1" applyFill="1" applyBorder="1" applyAlignment="1" applyProtection="1">
      <alignment horizontal="center" vertical="center"/>
      <protection/>
    </xf>
    <xf numFmtId="49" fontId="111"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49" fontId="105" fillId="50" borderId="20" xfId="0" applyNumberFormat="1" applyFont="1" applyFill="1" applyBorder="1" applyAlignment="1" applyProtection="1">
      <alignment vertical="center"/>
      <protection/>
    </xf>
    <xf numFmtId="49" fontId="105" fillId="47" borderId="20" xfId="0" applyNumberFormat="1" applyFont="1" applyFill="1" applyBorder="1" applyAlignment="1">
      <alignment/>
    </xf>
    <xf numFmtId="194" fontId="28" fillId="0" borderId="0" xfId="0" applyNumberFormat="1" applyFont="1" applyFill="1" applyBorder="1" applyAlignment="1">
      <alignment horizontal="center" wrapText="1"/>
    </xf>
    <xf numFmtId="49" fontId="8" fillId="50" borderId="26" xfId="136" applyNumberFormat="1" applyFont="1" applyFill="1" applyBorder="1" applyAlignment="1">
      <alignment vertical="center"/>
      <protection/>
    </xf>
    <xf numFmtId="0" fontId="8" fillId="50" borderId="26" xfId="136" applyFont="1" applyFill="1" applyBorder="1" applyAlignment="1">
      <alignment vertical="center"/>
      <protection/>
    </xf>
    <xf numFmtId="49" fontId="8" fillId="50" borderId="26" xfId="136"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protection/>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49" fontId="8" fillId="50" borderId="26" xfId="0" applyNumberFormat="1" applyFont="1" applyFill="1" applyBorder="1" applyAlignment="1" applyProtection="1">
      <alignment vertical="center"/>
      <protection/>
    </xf>
    <xf numFmtId="194" fontId="160" fillId="50" borderId="20" xfId="0" applyNumberFormat="1" applyFont="1" applyFill="1" applyBorder="1" applyAlignment="1" applyProtection="1">
      <alignment horizontal="right" vertical="center"/>
      <protection/>
    </xf>
    <xf numFmtId="194" fontId="160" fillId="50" borderId="20" xfId="0" applyNumberFormat="1" applyFont="1" applyFill="1" applyBorder="1" applyAlignment="1">
      <alignment horizontal="right" vertical="center"/>
    </xf>
    <xf numFmtId="210" fontId="8" fillId="50" borderId="20" xfId="0" applyNumberFormat="1" applyFont="1" applyFill="1" applyBorder="1" applyAlignment="1">
      <alignment horizontal="right" vertical="center"/>
    </xf>
    <xf numFmtId="49" fontId="8" fillId="50" borderId="26" xfId="0" applyNumberFormat="1" applyFont="1" applyFill="1" applyBorder="1" applyAlignment="1">
      <alignment/>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49" fontId="8" fillId="50" borderId="20" xfId="0" applyNumberFormat="1" applyFont="1" applyFill="1" applyBorder="1" applyAlignment="1" applyProtection="1">
      <alignment horizontal="center" vertical="center"/>
      <protection/>
    </xf>
    <xf numFmtId="3" fontId="4" fillId="0" borderId="0" xfId="0" applyNumberFormat="1" applyFont="1" applyFill="1" applyAlignment="1">
      <alignment/>
    </xf>
    <xf numFmtId="10" fontId="8" fillId="0" borderId="20" xfId="157" applyNumberFormat="1" applyFont="1" applyFill="1" applyBorder="1" applyAlignment="1">
      <alignment/>
    </xf>
    <xf numFmtId="3" fontId="8" fillId="0" borderId="20" xfId="135" applyNumberFormat="1" applyFont="1" applyFill="1" applyBorder="1">
      <alignment/>
      <protection/>
    </xf>
    <xf numFmtId="49" fontId="163" fillId="50" borderId="0" xfId="0" applyNumberFormat="1" applyFont="1" applyFill="1" applyAlignment="1">
      <alignment/>
    </xf>
    <xf numFmtId="194" fontId="168" fillId="0" borderId="0" xfId="0" applyNumberFormat="1" applyFont="1" applyFill="1" applyAlignment="1">
      <alignment horizontal="center"/>
    </xf>
    <xf numFmtId="3" fontId="168" fillId="0" borderId="0" xfId="0" applyNumberFormat="1" applyFont="1" applyFill="1" applyAlignment="1">
      <alignment horizontal="center"/>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49" fontId="103" fillId="50" borderId="20" xfId="0" applyNumberFormat="1" applyFont="1" applyFill="1" applyBorder="1" applyAlignment="1">
      <alignment vertical="center"/>
    </xf>
    <xf numFmtId="0" fontId="164" fillId="0" borderId="0" xfId="0" applyNumberFormat="1" applyFont="1" applyFill="1" applyAlignment="1">
      <alignment horizontal="center"/>
    </xf>
    <xf numFmtId="194" fontId="165" fillId="50" borderId="20" xfId="0"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49" fontId="105" fillId="0" borderId="0" xfId="0" applyNumberFormat="1" applyFont="1" applyFill="1" applyBorder="1" applyAlignment="1" applyProtection="1">
      <alignment horizontal="center" vertical="center" wrapText="1"/>
      <protection/>
    </xf>
    <xf numFmtId="37" fontId="105" fillId="50" borderId="20" xfId="0" applyNumberFormat="1" applyFont="1" applyFill="1" applyBorder="1" applyAlignment="1" applyProtection="1">
      <alignment horizontal="center" vertical="center"/>
      <protection/>
    </xf>
    <xf numFmtId="194" fontId="104" fillId="47" borderId="20" xfId="0" applyNumberFormat="1" applyFont="1" applyFill="1" applyBorder="1" applyAlignment="1" applyProtection="1">
      <alignment horizontal="right" vertical="center"/>
      <protection/>
    </xf>
    <xf numFmtId="49" fontId="108" fillId="47" borderId="20" xfId="138" applyNumberFormat="1" applyFont="1" applyFill="1" applyBorder="1" applyAlignment="1" applyProtection="1">
      <alignment vertical="center"/>
      <protection/>
    </xf>
    <xf numFmtId="0" fontId="108" fillId="47" borderId="20" xfId="138" applyFont="1" applyFill="1" applyBorder="1" applyAlignment="1">
      <alignment horizontal="left" vertical="center"/>
      <protection/>
    </xf>
    <xf numFmtId="49" fontId="108" fillId="47" borderId="20" xfId="138" applyNumberFormat="1" applyFont="1" applyFill="1" applyBorder="1">
      <alignment/>
      <protection/>
    </xf>
    <xf numFmtId="49" fontId="112" fillId="47" borderId="26" xfId="0" applyNumberFormat="1" applyFont="1" applyFill="1" applyBorder="1" applyAlignment="1" applyProtection="1">
      <alignment vertical="center"/>
      <protection/>
    </xf>
    <xf numFmtId="49" fontId="103" fillId="0" borderId="20" xfId="144" applyNumberFormat="1" applyFont="1" applyFill="1" applyBorder="1" applyAlignment="1" applyProtection="1">
      <alignment vertical="center" wrapText="1"/>
      <protection locked="0"/>
    </xf>
    <xf numFmtId="49" fontId="103" fillId="0" borderId="20" xfId="144" applyNumberFormat="1" applyFont="1" applyFill="1" applyBorder="1" applyAlignment="1" applyProtection="1">
      <alignment vertical="center"/>
      <protection locked="0"/>
    </xf>
    <xf numFmtId="49" fontId="103" fillId="0" borderId="20" xfId="0" applyNumberFormat="1" applyFont="1" applyFill="1" applyBorder="1" applyAlignment="1">
      <alignment/>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lignment/>
    </xf>
    <xf numFmtId="49" fontId="103" fillId="50" borderId="20" xfId="0" applyNumberFormat="1" applyFont="1" applyFill="1" applyBorder="1" applyAlignment="1">
      <alignment/>
    </xf>
    <xf numFmtId="10" fontId="103" fillId="0" borderId="20" xfId="157" applyNumberFormat="1" applyFont="1" applyFill="1" applyBorder="1" applyAlignment="1">
      <alignment/>
    </xf>
    <xf numFmtId="49" fontId="8" fillId="0" borderId="20" xfId="0" applyNumberFormat="1" applyFont="1" applyFill="1" applyBorder="1" applyAlignment="1" applyProtection="1">
      <alignment/>
      <protection locked="0"/>
    </xf>
    <xf numFmtId="3" fontId="103" fillId="47" borderId="20" xfId="0" applyNumberFormat="1" applyFont="1" applyFill="1" applyBorder="1" applyAlignment="1">
      <alignment horizontal="center" vertical="center"/>
    </xf>
    <xf numFmtId="3" fontId="103" fillId="0" borderId="20" xfId="0" applyNumberFormat="1" applyFont="1" applyFill="1" applyBorder="1" applyAlignment="1" applyProtection="1">
      <alignment/>
      <protection locked="0"/>
    </xf>
    <xf numFmtId="3" fontId="163" fillId="0" borderId="0" xfId="0" applyNumberFormat="1" applyFont="1" applyFill="1" applyAlignment="1">
      <alignment/>
    </xf>
    <xf numFmtId="3" fontId="103" fillId="0" borderId="20" xfId="0" applyNumberFormat="1" applyFont="1" applyFill="1" applyBorder="1" applyAlignment="1" applyProtection="1">
      <alignment horizontal="center" vertical="center"/>
      <protection locked="0"/>
    </xf>
    <xf numFmtId="216" fontId="103" fillId="0" borderId="20" xfId="0" applyNumberFormat="1" applyFont="1" applyFill="1" applyBorder="1" applyAlignment="1" applyProtection="1">
      <alignment horizontal="center" vertical="center"/>
      <protection locked="0"/>
    </xf>
    <xf numFmtId="194" fontId="113" fillId="47" borderId="20" xfId="99" applyNumberFormat="1" applyFont="1" applyFill="1" applyBorder="1" applyAlignment="1">
      <alignment horizontal="center"/>
    </xf>
    <xf numFmtId="43" fontId="8" fillId="0" borderId="20" xfId="99" applyFont="1" applyFill="1" applyBorder="1" applyAlignment="1" applyProtection="1">
      <alignment/>
      <protection locked="0"/>
    </xf>
    <xf numFmtId="194" fontId="160" fillId="0" borderId="20" xfId="0" applyNumberFormat="1" applyFont="1" applyFill="1" applyBorder="1" applyAlignment="1">
      <alignment/>
    </xf>
    <xf numFmtId="3" fontId="159" fillId="0" borderId="20" xfId="0" applyNumberFormat="1" applyFont="1" applyFill="1" applyBorder="1" applyAlignment="1">
      <alignment/>
    </xf>
    <xf numFmtId="194" fontId="160" fillId="50" borderId="0" xfId="0" applyNumberFormat="1" applyFont="1" applyFill="1" applyAlignment="1">
      <alignment/>
    </xf>
    <xf numFmtId="0" fontId="8" fillId="0" borderId="0" xfId="0" applyFont="1" applyAlignment="1">
      <alignment/>
    </xf>
    <xf numFmtId="0" fontId="4" fillId="0" borderId="0" xfId="0" applyNumberFormat="1" applyFont="1" applyFill="1" applyAlignment="1">
      <alignment/>
    </xf>
    <xf numFmtId="0" fontId="0" fillId="49" borderId="20" xfId="0" applyFont="1" applyFill="1" applyBorder="1" applyAlignment="1">
      <alignment/>
    </xf>
    <xf numFmtId="41" fontId="103" fillId="47" borderId="20" xfId="0" applyNumberFormat="1" applyFont="1" applyFill="1" applyBorder="1" applyAlignment="1" applyProtection="1">
      <alignment horizontal="center" vertical="center"/>
      <protection locked="0"/>
    </xf>
    <xf numFmtId="41" fontId="103" fillId="47" borderId="21" xfId="0" applyNumberFormat="1" applyFont="1" applyFill="1" applyBorder="1" applyAlignment="1" applyProtection="1">
      <alignment horizontal="center" vertical="center"/>
      <protection locked="0"/>
    </xf>
    <xf numFmtId="194" fontId="112" fillId="47" borderId="20" xfId="0" applyNumberFormat="1" applyFont="1" applyFill="1" applyBorder="1" applyAlignment="1" applyProtection="1">
      <alignment horizontal="right" vertical="center"/>
      <protection/>
    </xf>
    <xf numFmtId="194" fontId="103" fillId="47" borderId="20" xfId="99" applyNumberFormat="1" applyFont="1" applyFill="1" applyBorder="1" applyAlignment="1" applyProtection="1">
      <alignment horizontal="center" vertical="center"/>
      <protection/>
    </xf>
    <xf numFmtId="194" fontId="114" fillId="47" borderId="20" xfId="0" applyNumberFormat="1" applyFont="1" applyFill="1" applyBorder="1" applyAlignment="1" applyProtection="1">
      <alignment horizontal="right" vertical="center"/>
      <protection/>
    </xf>
    <xf numFmtId="49" fontId="169" fillId="50" borderId="26" xfId="0" applyNumberFormat="1" applyFont="1" applyFill="1" applyBorder="1" applyAlignment="1" applyProtection="1">
      <alignment vertical="center"/>
      <protection/>
    </xf>
    <xf numFmtId="210" fontId="169" fillId="50" borderId="20" xfId="0" applyNumberFormat="1" applyFont="1" applyFill="1" applyBorder="1" applyAlignment="1">
      <alignment horizontal="right" vertical="center"/>
    </xf>
    <xf numFmtId="49" fontId="110" fillId="0" borderId="0" xfId="0" applyNumberFormat="1" applyFont="1" applyFill="1" applyBorder="1" applyAlignment="1" applyProtection="1">
      <alignment horizontal="center" vertical="center"/>
      <protection/>
    </xf>
    <xf numFmtId="194" fontId="100" fillId="50" borderId="20" xfId="0" applyNumberFormat="1" applyFont="1" applyFill="1" applyBorder="1" applyAlignment="1" applyProtection="1">
      <alignment horizontal="center" vertical="center"/>
      <protection/>
    </xf>
    <xf numFmtId="210" fontId="100" fillId="50" borderId="20" xfId="0" applyNumberFormat="1" applyFont="1" applyFill="1" applyBorder="1" applyAlignment="1">
      <alignment horizontal="center" vertical="center"/>
    </xf>
    <xf numFmtId="194" fontId="100" fillId="0" borderId="20" xfId="0" applyNumberFormat="1" applyFont="1" applyBorder="1" applyAlignment="1">
      <alignment horizontal="center" vertical="center"/>
    </xf>
    <xf numFmtId="49" fontId="166" fillId="47" borderId="20" xfId="0" applyNumberFormat="1" applyFont="1" applyFill="1" applyBorder="1" applyAlignment="1" applyProtection="1">
      <alignment horizontal="center" vertical="center"/>
      <protection/>
    </xf>
    <xf numFmtId="49" fontId="166" fillId="50" borderId="20" xfId="0" applyNumberFormat="1" applyFont="1" applyFill="1" applyBorder="1" applyAlignment="1" applyProtection="1">
      <alignment vertical="center"/>
      <protection/>
    </xf>
    <xf numFmtId="49" fontId="100" fillId="47" borderId="0" xfId="0" applyNumberFormat="1" applyFont="1" applyFill="1" applyAlignment="1">
      <alignment/>
    </xf>
    <xf numFmtId="210" fontId="160" fillId="50" borderId="20" xfId="0" applyNumberFormat="1" applyFont="1" applyFill="1" applyBorder="1" applyAlignment="1">
      <alignment horizontal="right" vertical="center"/>
    </xf>
    <xf numFmtId="194" fontId="8" fillId="47" borderId="20" xfId="136" applyNumberFormat="1" applyFont="1" applyFill="1" applyBorder="1" applyAlignment="1" applyProtection="1">
      <alignment horizontal="right" vertical="center"/>
      <protection/>
    </xf>
    <xf numFmtId="194" fontId="8" fillId="0" borderId="20" xfId="0"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center" vertical="center"/>
      <protection/>
    </xf>
    <xf numFmtId="1" fontId="8" fillId="47" borderId="20" xfId="0" applyNumberFormat="1" applyFont="1" applyFill="1" applyBorder="1" applyAlignment="1" applyProtection="1">
      <alignment horizontal="right" vertical="center"/>
      <protection/>
    </xf>
    <xf numFmtId="194" fontId="8" fillId="0" borderId="20" xfId="99" applyNumberFormat="1" applyFont="1" applyBorder="1" applyAlignment="1" applyProtection="1">
      <alignment/>
      <protection locked="0"/>
    </xf>
    <xf numFmtId="194" fontId="8" fillId="50" borderId="20" xfId="0" applyNumberFormat="1" applyFont="1" applyFill="1" applyBorder="1" applyAlignment="1">
      <alignment horizontal="right" vertical="center"/>
    </xf>
    <xf numFmtId="3" fontId="8" fillId="47" borderId="20" xfId="0" applyNumberFormat="1" applyFont="1" applyFill="1" applyBorder="1" applyAlignment="1" applyProtection="1">
      <alignment horizontal="center" vertical="center"/>
      <protection/>
    </xf>
    <xf numFmtId="41" fontId="8" fillId="47" borderId="20" xfId="0" applyNumberFormat="1" applyFont="1" applyFill="1" applyBorder="1" applyAlignment="1" applyProtection="1">
      <alignment horizontal="center" vertical="center"/>
      <protection locked="0"/>
    </xf>
    <xf numFmtId="1" fontId="104" fillId="50" borderId="20" xfId="0" applyNumberFormat="1" applyFont="1" applyFill="1" applyBorder="1" applyAlignment="1" applyProtection="1">
      <alignment horizontal="center" vertical="center"/>
      <protection/>
    </xf>
    <xf numFmtId="1" fontId="8" fillId="50" borderId="20" xfId="0" applyNumberFormat="1" applyFont="1" applyFill="1" applyBorder="1" applyAlignment="1" applyProtection="1">
      <alignment horizontal="center" vertical="center"/>
      <protection/>
    </xf>
    <xf numFmtId="1" fontId="8" fillId="50" borderId="20" xfId="157" applyNumberFormat="1" applyFont="1" applyFill="1" applyBorder="1" applyAlignment="1" applyProtection="1">
      <alignment horizontal="center" vertical="center"/>
      <protection/>
    </xf>
    <xf numFmtId="1" fontId="8" fillId="50" borderId="20" xfId="0" applyNumberFormat="1" applyFont="1" applyFill="1" applyBorder="1" applyAlignment="1">
      <alignment horizontal="center" vertical="center"/>
    </xf>
    <xf numFmtId="194" fontId="104" fillId="50" borderId="20" xfId="0" applyNumberFormat="1" applyFont="1" applyFill="1" applyBorder="1" applyAlignment="1" applyProtection="1">
      <alignment horizontal="right" vertical="center"/>
      <protection/>
    </xf>
    <xf numFmtId="49" fontId="105" fillId="0" borderId="25" xfId="0" applyNumberFormat="1" applyFont="1" applyFill="1" applyBorder="1" applyAlignment="1" applyProtection="1">
      <alignment horizontal="center" vertical="center" wrapText="1"/>
      <protection/>
    </xf>
    <xf numFmtId="0" fontId="170" fillId="51" borderId="20" xfId="0" applyFont="1" applyFill="1" applyBorder="1" applyAlignment="1">
      <alignment vertical="center" wrapText="1"/>
    </xf>
    <xf numFmtId="0" fontId="171" fillId="51" borderId="20" xfId="0" applyFont="1" applyFill="1" applyBorder="1" applyAlignment="1">
      <alignment vertical="center" wrapText="1"/>
    </xf>
    <xf numFmtId="3" fontId="171" fillId="51" borderId="20" xfId="0" applyNumberFormat="1" applyFont="1" applyFill="1" applyBorder="1" applyAlignment="1">
      <alignment vertical="center" wrapText="1"/>
    </xf>
    <xf numFmtId="194" fontId="108" fillId="47" borderId="20" xfId="0" applyNumberFormat="1" applyFont="1" applyFill="1" applyBorder="1" applyAlignment="1" applyProtection="1">
      <alignment horizontal="right" vertical="center"/>
      <protection/>
    </xf>
    <xf numFmtId="49" fontId="108" fillId="47" borderId="20" xfId="0" applyNumberFormat="1" applyFont="1" applyFill="1" applyBorder="1" applyAlignment="1" applyProtection="1">
      <alignment horizontal="center" vertical="center"/>
      <protection/>
    </xf>
    <xf numFmtId="41" fontId="8" fillId="50" borderId="20" xfId="0" applyNumberFormat="1" applyFont="1" applyFill="1" applyBorder="1" applyAlignment="1" applyProtection="1">
      <alignment horizontal="center" vertical="center"/>
      <protection locked="0"/>
    </xf>
    <xf numFmtId="194" fontId="172" fillId="0" borderId="20" xfId="99" applyNumberFormat="1" applyFont="1" applyBorder="1" applyAlignment="1" applyProtection="1">
      <alignment/>
      <protection locked="0"/>
    </xf>
    <xf numFmtId="194" fontId="173" fillId="0" borderId="20" xfId="99" applyNumberFormat="1" applyFont="1" applyBorder="1" applyAlignment="1" applyProtection="1">
      <alignment/>
      <protection locked="0"/>
    </xf>
    <xf numFmtId="3" fontId="8" fillId="47" borderId="20" xfId="157" applyNumberFormat="1" applyFont="1" applyFill="1" applyBorder="1" applyAlignment="1" applyProtection="1">
      <alignment horizontal="center" vertical="center"/>
      <protection/>
    </xf>
    <xf numFmtId="3" fontId="8" fillId="47" borderId="20" xfId="0" applyNumberFormat="1" applyFont="1" applyFill="1" applyBorder="1" applyAlignment="1">
      <alignment horizontal="center"/>
    </xf>
    <xf numFmtId="1" fontId="170" fillId="51" borderId="20" xfId="0" applyNumberFormat="1" applyFont="1" applyFill="1" applyBorder="1" applyAlignment="1">
      <alignment vertical="center" wrapText="1"/>
    </xf>
    <xf numFmtId="3" fontId="8" fillId="47" borderId="20" xfId="0" applyNumberFormat="1" applyFont="1" applyFill="1" applyBorder="1" applyAlignment="1">
      <alignment horizontal="center" vertical="center"/>
    </xf>
    <xf numFmtId="1" fontId="8" fillId="47" borderId="20" xfId="0" applyNumberFormat="1" applyFont="1" applyFill="1" applyBorder="1" applyAlignment="1" applyProtection="1">
      <alignment vertical="center"/>
      <protection/>
    </xf>
    <xf numFmtId="49" fontId="8" fillId="0" borderId="20" xfId="144" applyNumberFormat="1" applyFont="1" applyFill="1" applyBorder="1" applyAlignment="1" applyProtection="1">
      <alignment vertical="center"/>
      <protection locked="0"/>
    </xf>
    <xf numFmtId="49" fontId="8" fillId="0" borderId="20" xfId="144" applyNumberFormat="1" applyFont="1" applyFill="1" applyBorder="1" applyAlignment="1" applyProtection="1">
      <alignment vertical="center" wrapText="1"/>
      <protection locked="0"/>
    </xf>
    <xf numFmtId="49" fontId="8" fillId="0" borderId="20" xfId="0" applyNumberFormat="1" applyFont="1" applyFill="1" applyBorder="1" applyAlignment="1" applyProtection="1">
      <alignment horizontal="right"/>
      <protection locked="0"/>
    </xf>
    <xf numFmtId="49" fontId="8" fillId="0" borderId="20" xfId="0" applyNumberFormat="1" applyFont="1" applyFill="1" applyBorder="1" applyAlignment="1">
      <alignment/>
    </xf>
    <xf numFmtId="194" fontId="114" fillId="0" borderId="20" xfId="0" applyNumberFormat="1" applyFont="1" applyFill="1" applyBorder="1" applyAlignment="1" applyProtection="1">
      <alignment horizontal="right" vertical="center"/>
      <protection/>
    </xf>
    <xf numFmtId="3" fontId="174" fillId="0" borderId="20" xfId="144" applyNumberFormat="1" applyFont="1" applyFill="1" applyBorder="1" applyAlignment="1" applyProtection="1">
      <alignment horizontal="center" vertical="center"/>
      <protection locked="0"/>
    </xf>
    <xf numFmtId="3" fontId="103" fillId="0" borderId="20" xfId="144" applyNumberFormat="1" applyFont="1" applyFill="1" applyBorder="1" applyAlignment="1" applyProtection="1">
      <alignment horizontal="center" vertical="center"/>
      <protection locked="0"/>
    </xf>
    <xf numFmtId="3" fontId="103" fillId="0" borderId="20" xfId="144" applyNumberFormat="1" applyFont="1" applyFill="1" applyBorder="1" applyAlignment="1" applyProtection="1">
      <alignment horizontal="center" vertical="center"/>
      <protection/>
    </xf>
    <xf numFmtId="194" fontId="114" fillId="47" borderId="20" xfId="99" applyNumberFormat="1" applyFont="1" applyFill="1" applyBorder="1" applyAlignment="1" applyProtection="1">
      <alignment horizontal="center" vertical="center"/>
      <protection/>
    </xf>
    <xf numFmtId="194" fontId="108" fillId="47" borderId="20" xfId="99" applyNumberFormat="1" applyFont="1" applyFill="1" applyBorder="1" applyAlignment="1">
      <alignment horizontal="center"/>
    </xf>
    <xf numFmtId="194" fontId="103" fillId="47" borderId="20" xfId="0" applyNumberFormat="1" applyFont="1" applyFill="1" applyBorder="1" applyAlignment="1" applyProtection="1">
      <alignment horizontal="center" vertical="center"/>
      <protection/>
    </xf>
    <xf numFmtId="41" fontId="103" fillId="50" borderId="20" xfId="0" applyNumberFormat="1" applyFont="1" applyFill="1" applyBorder="1" applyAlignment="1" applyProtection="1">
      <alignment horizontal="center" vertical="center"/>
      <protection locked="0"/>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25" fillId="0" borderId="0" xfId="145" applyNumberFormat="1" applyFont="1" applyBorder="1" applyAlignment="1">
      <alignment horizontal="center" wrapText="1"/>
      <protection/>
    </xf>
    <xf numFmtId="49" fontId="7" fillId="0" borderId="26" xfId="145" applyNumberFormat="1" applyFont="1" applyFill="1" applyBorder="1" applyAlignment="1">
      <alignment horizontal="center" vertical="center" wrapText="1"/>
      <protection/>
    </xf>
    <xf numFmtId="49" fontId="7" fillId="0" borderId="25" xfId="145" applyNumberFormat="1" applyFont="1" applyFill="1" applyBorder="1" applyAlignment="1">
      <alignment horizontal="center" vertical="center" wrapText="1"/>
      <protection/>
    </xf>
    <xf numFmtId="49" fontId="2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49" fontId="0" fillId="0" borderId="0" xfId="145" applyNumberFormat="1" applyFont="1" applyAlignment="1">
      <alignment horizontal="left"/>
      <protection/>
    </xf>
    <xf numFmtId="49" fontId="32" fillId="0" borderId="0" xfId="145" applyNumberFormat="1" applyFont="1" applyAlignment="1">
      <alignment horizontal="center"/>
      <protection/>
    </xf>
    <xf numFmtId="49" fontId="28"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0" fontId="54" fillId="3" borderId="26" xfId="145" applyNumberFormat="1" applyFont="1" applyFill="1" applyBorder="1" applyAlignment="1">
      <alignment horizontal="center" vertical="center" wrapText="1"/>
      <protection/>
    </xf>
    <xf numFmtId="0" fontId="54" fillId="3"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3" fillId="47" borderId="38" xfId="145" applyNumberFormat="1" applyFont="1" applyFill="1" applyBorder="1" applyAlignment="1" applyProtection="1">
      <alignment horizontal="center" vertical="center" wrapText="1"/>
      <protection/>
    </xf>
    <xf numFmtId="3" fontId="33"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64" fillId="0" borderId="0" xfId="145" applyNumberFormat="1" applyFont="1" applyBorder="1" applyAlignment="1">
      <alignment horizontal="center" wrapText="1"/>
      <protection/>
    </xf>
    <xf numFmtId="49" fontId="39" fillId="0" borderId="0" xfId="145" applyNumberFormat="1" applyFont="1" applyBorder="1" applyAlignment="1">
      <alignment horizont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0"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0" xfId="145" applyNumberFormat="1" applyFont="1" applyFill="1" applyBorder="1" applyAlignment="1">
      <alignment horizontal="center" vertical="center" wrapText="1"/>
      <protection/>
    </xf>
    <xf numFmtId="49" fontId="6" fillId="0" borderId="22"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6" fillId="3" borderId="26" xfId="145" applyNumberFormat="1" applyFont="1" applyFill="1" applyBorder="1" applyAlignment="1">
      <alignment horizontal="center" vertical="center" wrapText="1"/>
      <protection/>
    </xf>
    <xf numFmtId="49" fontId="66" fillId="3" borderId="25" xfId="145" applyNumberFormat="1" applyFont="1" applyFill="1" applyBorder="1" applyAlignment="1">
      <alignment horizontal="center" vertical="center" wrapText="1"/>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30"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8" fillId="0" borderId="0" xfId="145" applyNumberFormat="1" applyFont="1" applyBorder="1" applyAlignment="1">
      <alignment horizontal="center" wrapText="1"/>
      <protection/>
    </xf>
    <xf numFmtId="49" fontId="28"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54" fillId="3" borderId="26" xfId="145" applyNumberFormat="1" applyFont="1" applyFill="1" applyBorder="1" applyAlignment="1">
      <alignment horizontal="center" wrapText="1"/>
      <protection/>
    </xf>
    <xf numFmtId="49" fontId="54" fillId="3" borderId="25" xfId="145" applyNumberFormat="1" applyFont="1" applyFill="1" applyBorder="1" applyAlignment="1">
      <alignment horizontal="center" wrapText="1"/>
      <protection/>
    </xf>
    <xf numFmtId="49" fontId="3" fillId="0" borderId="20" xfId="145" applyNumberFormat="1" applyFont="1" applyBorder="1" applyAlignment="1">
      <alignment horizontal="center"/>
      <protection/>
    </xf>
    <xf numFmtId="49" fontId="18" fillId="0" borderId="0" xfId="145" applyNumberFormat="1" applyFont="1" applyBorder="1" applyAlignment="1">
      <alignment horizontal="left"/>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75" fillId="4" borderId="21" xfId="147" applyNumberFormat="1" applyFont="1" applyFill="1" applyBorder="1" applyAlignment="1">
      <alignment horizontal="center" vertical="center" wrapText="1"/>
      <protection/>
    </xf>
    <xf numFmtId="49" fontId="75" fillId="4" borderId="38" xfId="147" applyNumberFormat="1" applyFont="1" applyFill="1" applyBorder="1" applyAlignment="1">
      <alignment horizontal="center" vertical="center" wrapText="1"/>
      <protection/>
    </xf>
    <xf numFmtId="49" fontId="75"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3" fillId="0" borderId="26" xfId="147" applyNumberFormat="1" applyFont="1" applyBorder="1" applyAlignment="1">
      <alignment horizontal="center" vertical="center" wrapText="1"/>
      <protection/>
    </xf>
    <xf numFmtId="49" fontId="83"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wrapText="1"/>
      <protection/>
    </xf>
    <xf numFmtId="49" fontId="6" fillId="0" borderId="40" xfId="147" applyNumberFormat="1" applyFont="1" applyFill="1" applyBorder="1" applyAlignment="1">
      <alignment horizontal="center" vertical="center"/>
      <protection/>
    </xf>
    <xf numFmtId="49" fontId="6" fillId="0" borderId="20" xfId="147" applyNumberFormat="1" applyFont="1" applyFill="1" applyBorder="1" applyAlignment="1">
      <alignment horizontal="center" vertic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0" fillId="0" borderId="0" xfId="147" applyNumberFormat="1" applyFont="1" applyBorder="1" applyAlignment="1">
      <alignment horizontal="center"/>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25" fillId="47" borderId="0" xfId="147" applyFont="1" applyFill="1" applyBorder="1" applyAlignment="1">
      <alignment horizontal="center"/>
      <protection/>
    </xf>
    <xf numFmtId="49" fontId="30"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2"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4" fillId="3" borderId="26" xfId="147" applyNumberFormat="1" applyFont="1" applyFill="1" applyBorder="1" applyAlignment="1">
      <alignment horizontal="center" vertical="center" wrapText="1"/>
      <protection/>
    </xf>
    <xf numFmtId="49" fontId="84"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87"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20"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0" fillId="0" borderId="0" xfId="147" applyNumberFormat="1" applyFont="1" applyBorder="1" applyAlignment="1">
      <alignment horizontal="center"/>
      <protection/>
    </xf>
    <xf numFmtId="0" fontId="30" fillId="0" borderId="0" xfId="147" applyFont="1" applyBorder="1" applyAlignment="1">
      <alignment horizontal="center" wrapText="1"/>
      <protection/>
    </xf>
    <xf numFmtId="0" fontId="25" fillId="0" borderId="0" xfId="147" applyFont="1" applyBorder="1" applyAlignment="1">
      <alignment horizontal="center" wrapText="1"/>
      <protection/>
    </xf>
    <xf numFmtId="0" fontId="66" fillId="3" borderId="26" xfId="147" applyFont="1" applyFill="1" applyBorder="1" applyAlignment="1">
      <alignment horizontal="center" vertical="center" wrapText="1"/>
      <protection/>
    </xf>
    <xf numFmtId="0" fontId="66"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2" fillId="0" borderId="20" xfId="147" applyFont="1" applyBorder="1" applyAlignment="1">
      <alignment horizontal="center" vertical="center" wrapText="1"/>
      <protection/>
    </xf>
    <xf numFmtId="0" fontId="14" fillId="0" borderId="0" xfId="147" applyFont="1" applyAlignment="1">
      <alignment horizontal="center"/>
      <protection/>
    </xf>
    <xf numFmtId="0" fontId="6" fillId="0" borderId="20" xfId="147" applyFont="1" applyFill="1" applyBorder="1" applyAlignment="1">
      <alignment horizontal="center" vertical="center" wrapText="1"/>
      <protection/>
    </xf>
    <xf numFmtId="0" fontId="32"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0" xfId="147" applyFont="1" applyBorder="1" applyAlignment="1">
      <alignment horizontal="center" vertical="center"/>
      <protection/>
    </xf>
    <xf numFmtId="49" fontId="19" fillId="0" borderId="22" xfId="147" applyNumberFormat="1" applyFont="1" applyBorder="1" applyAlignment="1">
      <alignment horizontal="center"/>
      <protection/>
    </xf>
    <xf numFmtId="49" fontId="73"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78"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6" fillId="3" borderId="26" xfId="147" applyNumberFormat="1" applyFont="1" applyFill="1" applyBorder="1" applyAlignment="1">
      <alignment horizontal="center" vertical="center" wrapText="1"/>
      <protection/>
    </xf>
    <xf numFmtId="49" fontId="76" fillId="3" borderId="25" xfId="147" applyNumberFormat="1" applyFont="1" applyFill="1" applyBorder="1" applyAlignment="1">
      <alignment horizontal="center" vertical="center" wrapText="1"/>
      <protection/>
    </xf>
    <xf numFmtId="49" fontId="74" fillId="3" borderId="26" xfId="147" applyNumberFormat="1" applyFont="1" applyFill="1" applyBorder="1" applyAlignment="1">
      <alignment horizontal="center" vertical="center" wrapText="1"/>
      <protection/>
    </xf>
    <xf numFmtId="49" fontId="74"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30" fillId="0" borderId="0" xfId="147" applyNumberFormat="1" applyFont="1" applyBorder="1" applyAlignment="1">
      <alignment horizontal="left" wrapText="1"/>
      <protection/>
    </xf>
    <xf numFmtId="49" fontId="18" fillId="0" borderId="22" xfId="147" applyNumberFormat="1" applyFont="1" applyBorder="1" applyAlignment="1">
      <alignment horizontal="left"/>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wrapText="1"/>
      <protection/>
    </xf>
    <xf numFmtId="49" fontId="88" fillId="3" borderId="25" xfId="147" applyNumberFormat="1" applyFont="1" applyFill="1" applyBorder="1" applyAlignment="1">
      <alignment horizontal="center" vertical="center" wrapText="1"/>
      <protection/>
    </xf>
    <xf numFmtId="49" fontId="6" fillId="0" borderId="40" xfId="147" applyNumberFormat="1" applyFont="1" applyFill="1" applyBorder="1" applyAlignment="1">
      <alignment horizontal="center" vertical="center" wrapText="1"/>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0" fontId="81" fillId="0" borderId="40" xfId="147" applyFont="1" applyFill="1" applyBorder="1" applyAlignment="1">
      <alignment horizontal="center" vertical="center" wrapText="1"/>
      <protection/>
    </xf>
    <xf numFmtId="0" fontId="81" fillId="0" borderId="25" xfId="147" applyFont="1" applyFill="1" applyBorder="1" applyAlignment="1">
      <alignment horizontal="center" vertical="center" wrapText="1"/>
      <protection/>
    </xf>
    <xf numFmtId="49" fontId="0" fillId="0" borderId="0" xfId="147" applyNumberFormat="1" applyFont="1" applyFill="1" applyAlignment="1">
      <alignment horizontal="left"/>
      <protection/>
    </xf>
    <xf numFmtId="49" fontId="18" fillId="0" borderId="0" xfId="147" applyNumberFormat="1" applyFont="1" applyFill="1" applyBorder="1" applyAlignment="1">
      <alignment horizontal="left"/>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88" fillId="3" borderId="26" xfId="147" applyNumberFormat="1" applyFont="1" applyFill="1" applyBorder="1" applyAlignment="1">
      <alignment horizontal="center" vertical="center"/>
      <protection/>
    </xf>
    <xf numFmtId="49" fontId="88" fillId="3" borderId="25" xfId="147" applyNumberFormat="1" applyFont="1" applyFill="1" applyBorder="1" applyAlignment="1">
      <alignment horizontal="center" vertical="center"/>
      <protection/>
    </xf>
    <xf numFmtId="0" fontId="25" fillId="0" borderId="0" xfId="147" applyFont="1" applyAlignment="1">
      <alignment horizontal="center"/>
      <protection/>
    </xf>
    <xf numFmtId="0" fontId="7" fillId="0" borderId="20" xfId="147" applyFont="1" applyFill="1" applyBorder="1" applyAlignment="1">
      <alignment horizontal="center" vertical="center" wrapText="1"/>
      <protection/>
    </xf>
    <xf numFmtId="0" fontId="28"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18" fillId="0" borderId="0" xfId="147" applyFont="1" applyBorder="1" applyAlignment="1">
      <alignment horizontal="left"/>
      <protection/>
    </xf>
    <xf numFmtId="0" fontId="13" fillId="0" borderId="0" xfId="147" applyFont="1" applyAlignment="1">
      <alignment horizontal="center"/>
      <protection/>
    </xf>
    <xf numFmtId="49" fontId="30" fillId="0" borderId="0" xfId="147" applyNumberFormat="1" applyFont="1" applyBorder="1" applyAlignment="1">
      <alignment horizontal="justify" vertical="justify" wrapText="1"/>
      <protection/>
    </xf>
    <xf numFmtId="0" fontId="14" fillId="0" borderId="0" xfId="147" applyNumberFormat="1" applyFont="1" applyAlignment="1">
      <alignment horizontal="center"/>
      <protection/>
    </xf>
    <xf numFmtId="0" fontId="32" fillId="0" borderId="0" xfId="147" applyNumberFormat="1" applyFont="1" applyAlignment="1">
      <alignment horizontal="center"/>
      <protection/>
    </xf>
    <xf numFmtId="0" fontId="23" fillId="0" borderId="0" xfId="147"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2" fillId="50" borderId="20" xfId="0" applyNumberFormat="1" applyFont="1" applyFill="1" applyBorder="1" applyAlignment="1" applyProtection="1">
      <alignment horizontal="center" vertical="center" wrapText="1"/>
      <protection/>
    </xf>
    <xf numFmtId="49" fontId="162" fillId="50" borderId="20" xfId="0" applyNumberFormat="1" applyFont="1" applyFill="1" applyBorder="1" applyAlignment="1">
      <alignment horizontal="center" vertical="center" wrapText="1"/>
    </xf>
    <xf numFmtId="49" fontId="162" fillId="50" borderId="0" xfId="0" applyNumberFormat="1" applyFont="1" applyFill="1" applyBorder="1" applyAlignment="1" applyProtection="1">
      <alignment horizontal="center" vertical="center" wrapText="1"/>
      <protection/>
    </xf>
    <xf numFmtId="49" fontId="162" fillId="50" borderId="0" xfId="0" applyNumberFormat="1" applyFont="1" applyFill="1" applyBorder="1" applyAlignment="1">
      <alignment horizontal="center" vertical="center" wrapText="1"/>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6" fillId="50" borderId="26" xfId="0" applyNumberFormat="1" applyFont="1" applyFill="1" applyBorder="1" applyAlignment="1" applyProtection="1">
      <alignment horizontal="center" vertical="center" wrapText="1"/>
      <protection/>
    </xf>
    <xf numFmtId="49" fontId="166"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49" fontId="24" fillId="50" borderId="20"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49" fontId="24" fillId="50" borderId="20" xfId="0" applyNumberFormat="1" applyFont="1" applyFill="1" applyBorder="1" applyAlignment="1" applyProtection="1">
      <alignment horizontal="center" vertical="center" wrapText="1"/>
      <protection/>
    </xf>
    <xf numFmtId="49" fontId="175" fillId="50" borderId="26" xfId="0" applyNumberFormat="1" applyFont="1" applyFill="1" applyBorder="1" applyAlignment="1" applyProtection="1">
      <alignment horizontal="center" vertical="center" wrapText="1"/>
      <protection/>
    </xf>
    <xf numFmtId="49" fontId="175"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39"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1" xfId="0" applyNumberFormat="1" applyFont="1" applyFill="1" applyBorder="1" applyAlignment="1" applyProtection="1">
      <alignment horizontal="center" vertical="center" wrapText="1"/>
      <protection/>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3" fontId="18" fillId="50" borderId="19" xfId="0" applyNumberFormat="1" applyFont="1" applyFill="1" applyBorder="1" applyAlignment="1">
      <alignment horizontal="center" vertical="center"/>
    </xf>
    <xf numFmtId="0" fontId="4" fillId="50" borderId="0" xfId="0" applyNumberFormat="1" applyFont="1" applyFill="1" applyAlignment="1">
      <alignment horizontal="left"/>
    </xf>
    <xf numFmtId="49" fontId="111" fillId="50" borderId="20" xfId="0" applyNumberFormat="1" applyFont="1" applyFill="1" applyBorder="1" applyAlignment="1" applyProtection="1">
      <alignment horizontal="center" vertical="center" wrapText="1"/>
      <protection/>
    </xf>
    <xf numFmtId="49" fontId="105" fillId="50" borderId="25" xfId="0" applyNumberFormat="1" applyFont="1" applyFill="1" applyBorder="1" applyAlignment="1" applyProtection="1">
      <alignment horizontal="center" vertical="center" wrapText="1"/>
      <protection/>
    </xf>
    <xf numFmtId="49" fontId="105" fillId="50" borderId="35" xfId="0" applyNumberFormat="1" applyFont="1" applyFill="1" applyBorder="1" applyAlignment="1">
      <alignment horizontal="center" vertical="center" wrapText="1"/>
    </xf>
    <xf numFmtId="49" fontId="105" fillId="50" borderId="24" xfId="0" applyNumberFormat="1" applyFont="1" applyFill="1" applyBorder="1" applyAlignment="1">
      <alignment horizontal="center" vertical="center" wrapText="1"/>
    </xf>
    <xf numFmtId="49" fontId="105"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49" fontId="105" fillId="50" borderId="20" xfId="0" applyNumberFormat="1" applyFont="1" applyFill="1" applyBorder="1" applyAlignment="1" applyProtection="1">
      <alignment horizontal="center" vertical="center" wrapText="1"/>
      <protection/>
    </xf>
    <xf numFmtId="49" fontId="105" fillId="50" borderId="20" xfId="0" applyNumberFormat="1" applyFont="1" applyFill="1" applyBorder="1" applyAlignment="1">
      <alignment horizontal="center" vertical="center" wrapText="1"/>
    </xf>
    <xf numFmtId="0" fontId="111" fillId="50" borderId="20" xfId="0" applyNumberFormat="1" applyFont="1" applyFill="1" applyBorder="1" applyAlignment="1">
      <alignment horizontal="center" vertical="center" wrapText="1"/>
    </xf>
    <xf numFmtId="49" fontId="105" fillId="50" borderId="21" xfId="0" applyNumberFormat="1" applyFont="1" applyFill="1" applyBorder="1" applyAlignment="1">
      <alignment horizontal="center" vertical="center" wrapText="1"/>
    </xf>
    <xf numFmtId="49" fontId="105" fillId="50" borderId="23" xfId="0" applyNumberFormat="1" applyFont="1" applyFill="1" applyBorder="1" applyAlignment="1">
      <alignment horizontal="center" vertical="center" wrapText="1"/>
    </xf>
    <xf numFmtId="49" fontId="105" fillId="50" borderId="38" xfId="0" applyNumberFormat="1" applyFont="1" applyFill="1" applyBorder="1" applyAlignment="1">
      <alignment horizontal="center" vertical="center" wrapText="1"/>
    </xf>
    <xf numFmtId="49" fontId="176" fillId="50" borderId="20" xfId="0" applyNumberFormat="1" applyFont="1" applyFill="1" applyBorder="1" applyAlignment="1" applyProtection="1">
      <alignment horizontal="center" vertical="center" wrapText="1"/>
      <protection/>
    </xf>
    <xf numFmtId="49" fontId="111" fillId="50" borderId="26" xfId="0" applyNumberFormat="1" applyFont="1" applyFill="1" applyBorder="1" applyAlignment="1" applyProtection="1">
      <alignment horizontal="center" vertical="center" wrapText="1"/>
      <protection/>
    </xf>
    <xf numFmtId="49" fontId="111" fillId="50" borderId="40" xfId="0" applyNumberFormat="1" applyFont="1" applyFill="1" applyBorder="1" applyAlignment="1">
      <alignment horizontal="center" vertical="center" wrapText="1"/>
    </xf>
    <xf numFmtId="49" fontId="111" fillId="50" borderId="25" xfId="0" applyNumberFormat="1" applyFont="1" applyFill="1" applyBorder="1" applyAlignment="1">
      <alignment horizontal="center" vertical="center" wrapText="1"/>
    </xf>
    <xf numFmtId="49" fontId="105" fillId="50" borderId="21" xfId="0" applyNumberFormat="1" applyFont="1" applyFill="1" applyBorder="1" applyAlignment="1" applyProtection="1">
      <alignment horizontal="center" vertical="center" wrapText="1"/>
      <protection/>
    </xf>
    <xf numFmtId="49" fontId="105" fillId="50" borderId="35" xfId="0" applyNumberFormat="1" applyFont="1" applyFill="1" applyBorder="1" applyAlignment="1" applyProtection="1">
      <alignment horizontal="center" vertical="center" wrapText="1"/>
      <protection/>
    </xf>
    <xf numFmtId="49" fontId="105" fillId="50" borderId="19" xfId="0" applyNumberFormat="1" applyFont="1" applyFill="1" applyBorder="1" applyAlignment="1" applyProtection="1">
      <alignment horizontal="center" vertical="center" wrapText="1"/>
      <protection/>
    </xf>
    <xf numFmtId="49" fontId="105" fillId="50" borderId="36" xfId="0" applyNumberFormat="1" applyFont="1" applyFill="1" applyBorder="1" applyAlignment="1" applyProtection="1">
      <alignment horizontal="center" vertical="center" wrapText="1"/>
      <protection/>
    </xf>
    <xf numFmtId="1" fontId="111" fillId="50" borderId="26" xfId="0" applyNumberFormat="1" applyFont="1" applyFill="1" applyBorder="1" applyAlignment="1">
      <alignment horizontal="center" vertical="center"/>
    </xf>
    <xf numFmtId="1" fontId="111" fillId="50" borderId="40" xfId="0" applyNumberFormat="1" applyFont="1" applyFill="1" applyBorder="1" applyAlignment="1">
      <alignment horizontal="center" vertical="center"/>
    </xf>
    <xf numFmtId="1" fontId="111" fillId="50" borderId="25" xfId="0" applyNumberFormat="1" applyFont="1" applyFill="1" applyBorder="1" applyAlignment="1">
      <alignment horizontal="center" vertical="center"/>
    </xf>
    <xf numFmtId="49" fontId="0" fillId="50" borderId="0" xfId="0" applyNumberFormat="1" applyFont="1" applyFill="1" applyBorder="1" applyAlignment="1">
      <alignment/>
    </xf>
    <xf numFmtId="49" fontId="105" fillId="50" borderId="26" xfId="0" applyNumberFormat="1" applyFont="1" applyFill="1" applyBorder="1" applyAlignment="1" applyProtection="1">
      <alignment horizontal="center" vertical="center" wrapText="1"/>
      <protection/>
    </xf>
    <xf numFmtId="49" fontId="105" fillId="50" borderId="40"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8" fillId="50" borderId="22" xfId="0" applyNumberFormat="1" applyFont="1" applyFill="1" applyBorder="1" applyAlignment="1">
      <alignment/>
    </xf>
    <xf numFmtId="0" fontId="15" fillId="50" borderId="0" xfId="0" applyNumberFormat="1" applyFont="1" applyFill="1" applyAlignment="1">
      <alignment horizontal="center"/>
    </xf>
    <xf numFmtId="49" fontId="105" fillId="50" borderId="36" xfId="0" applyNumberFormat="1" applyFont="1" applyFill="1" applyBorder="1" applyAlignment="1">
      <alignment horizontal="center" vertical="center" wrapText="1"/>
    </xf>
    <xf numFmtId="49" fontId="105" fillId="50" borderId="39" xfId="0" applyNumberFormat="1" applyFont="1" applyFill="1" applyBorder="1" applyAlignment="1">
      <alignment horizontal="center" vertical="center" wrapText="1"/>
    </xf>
    <xf numFmtId="49" fontId="105" fillId="50" borderId="37"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0"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49" fontId="100" fillId="0" borderId="20" xfId="0" applyNumberFormat="1" applyFont="1" applyFill="1" applyBorder="1" applyAlignment="1" applyProtection="1">
      <alignment horizontal="center" vertical="center" wrapText="1"/>
      <protection/>
    </xf>
    <xf numFmtId="0" fontId="100"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0" fontId="100" fillId="0" borderId="20" xfId="135"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66" fillId="50" borderId="40"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65" fillId="50" borderId="26" xfId="0" applyNumberFormat="1" applyFont="1" applyFill="1" applyBorder="1" applyAlignment="1" applyProtection="1">
      <alignment horizontal="center" vertical="center" wrapText="1"/>
      <protection/>
    </xf>
    <xf numFmtId="49" fontId="165" fillId="5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5"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49" fontId="105" fillId="0" borderId="20" xfId="0" applyNumberFormat="1" applyFont="1" applyFill="1" applyBorder="1" applyAlignment="1">
      <alignment horizontal="center" vertical="center" wrapText="1"/>
    </xf>
    <xf numFmtId="1" fontId="105" fillId="0" borderId="20" xfId="0" applyNumberFormat="1" applyFont="1" applyFill="1" applyBorder="1" applyAlignment="1">
      <alignment horizontal="center" vertical="center"/>
    </xf>
    <xf numFmtId="0" fontId="105" fillId="0" borderId="20" xfId="0" applyNumberFormat="1" applyFont="1" applyFill="1" applyBorder="1" applyAlignment="1">
      <alignment horizontal="center" vertical="center" wrapText="1"/>
    </xf>
    <xf numFmtId="49" fontId="106" fillId="0" borderId="43"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pplyProtection="1">
      <alignment horizontal="center" vertical="center" wrapText="1"/>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24777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24777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1" t="s">
        <v>26</v>
      </c>
      <c r="B1" s="611"/>
      <c r="C1" s="608" t="s">
        <v>74</v>
      </c>
      <c r="D1" s="608"/>
      <c r="E1" s="608"/>
      <c r="F1" s="612" t="s">
        <v>70</v>
      </c>
      <c r="G1" s="612"/>
      <c r="H1" s="612"/>
    </row>
    <row r="2" spans="1:8" ht="33.75" customHeight="1">
      <c r="A2" s="613" t="s">
        <v>77</v>
      </c>
      <c r="B2" s="613"/>
      <c r="C2" s="608"/>
      <c r="D2" s="608"/>
      <c r="E2" s="608"/>
      <c r="F2" s="605" t="s">
        <v>71</v>
      </c>
      <c r="G2" s="605"/>
      <c r="H2" s="605"/>
    </row>
    <row r="3" spans="1:8" ht="19.5" customHeight="1">
      <c r="A3" s="6" t="s">
        <v>65</v>
      </c>
      <c r="B3" s="6"/>
      <c r="C3" s="24"/>
      <c r="D3" s="24"/>
      <c r="E3" s="24"/>
      <c r="F3" s="605" t="s">
        <v>72</v>
      </c>
      <c r="G3" s="605"/>
      <c r="H3" s="605"/>
    </row>
    <row r="4" spans="1:8" s="7" customFormat="1" ht="19.5" customHeight="1">
      <c r="A4" s="6"/>
      <c r="B4" s="6"/>
      <c r="D4" s="8"/>
      <c r="F4" s="9" t="s">
        <v>73</v>
      </c>
      <c r="G4" s="9"/>
      <c r="H4" s="9"/>
    </row>
    <row r="5" spans="1:8" s="23" customFormat="1" ht="36" customHeight="1">
      <c r="A5" s="624" t="s">
        <v>57</v>
      </c>
      <c r="B5" s="625"/>
      <c r="C5" s="628" t="s">
        <v>68</v>
      </c>
      <c r="D5" s="629"/>
      <c r="E5" s="630" t="s">
        <v>67</v>
      </c>
      <c r="F5" s="630"/>
      <c r="G5" s="630"/>
      <c r="H5" s="607"/>
    </row>
    <row r="6" spans="1:8" s="23" customFormat="1" ht="20.25" customHeight="1">
      <c r="A6" s="626"/>
      <c r="B6" s="627"/>
      <c r="C6" s="609" t="s">
        <v>3</v>
      </c>
      <c r="D6" s="609" t="s">
        <v>75</v>
      </c>
      <c r="E6" s="606" t="s">
        <v>69</v>
      </c>
      <c r="F6" s="607"/>
      <c r="G6" s="606" t="s">
        <v>76</v>
      </c>
      <c r="H6" s="607"/>
    </row>
    <row r="7" spans="1:8" s="23" customFormat="1" ht="52.5" customHeight="1">
      <c r="A7" s="626"/>
      <c r="B7" s="627"/>
      <c r="C7" s="610"/>
      <c r="D7" s="610"/>
      <c r="E7" s="5" t="s">
        <v>3</v>
      </c>
      <c r="F7" s="5" t="s">
        <v>9</v>
      </c>
      <c r="G7" s="5" t="s">
        <v>3</v>
      </c>
      <c r="H7" s="5" t="s">
        <v>9</v>
      </c>
    </row>
    <row r="8" spans="1:8" ht="15" customHeight="1">
      <c r="A8" s="615" t="s">
        <v>6</v>
      </c>
      <c r="B8" s="616"/>
      <c r="C8" s="10">
        <v>1</v>
      </c>
      <c r="D8" s="10" t="s">
        <v>44</v>
      </c>
      <c r="E8" s="10" t="s">
        <v>49</v>
      </c>
      <c r="F8" s="10" t="s">
        <v>58</v>
      </c>
      <c r="G8" s="10" t="s">
        <v>59</v>
      </c>
      <c r="H8" s="10" t="s">
        <v>60</v>
      </c>
    </row>
    <row r="9" spans="1:8" ht="26.25" customHeight="1">
      <c r="A9" s="617" t="s">
        <v>33</v>
      </c>
      <c r="B9" s="618"/>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19" t="s">
        <v>56</v>
      </c>
      <c r="C16" s="619"/>
      <c r="D16" s="26"/>
      <c r="E16" s="621" t="s">
        <v>19</v>
      </c>
      <c r="F16" s="621"/>
      <c r="G16" s="621"/>
      <c r="H16" s="621"/>
    </row>
    <row r="17" spans="2:8" ht="15.75" customHeight="1">
      <c r="B17" s="619"/>
      <c r="C17" s="619"/>
      <c r="D17" s="26"/>
      <c r="E17" s="622" t="s">
        <v>38</v>
      </c>
      <c r="F17" s="622"/>
      <c r="G17" s="622"/>
      <c r="H17" s="622"/>
    </row>
    <row r="18" spans="2:8" s="27" customFormat="1" ht="15.75" customHeight="1">
      <c r="B18" s="619"/>
      <c r="C18" s="619"/>
      <c r="D18" s="28"/>
      <c r="E18" s="623" t="s">
        <v>55</v>
      </c>
      <c r="F18" s="623"/>
      <c r="G18" s="623"/>
      <c r="H18" s="623"/>
    </row>
    <row r="20" ht="15.75">
      <c r="B20" s="19"/>
    </row>
    <row r="22" ht="15.75" hidden="1">
      <c r="A22" s="20" t="s">
        <v>41</v>
      </c>
    </row>
    <row r="23" spans="1:3" ht="15.75" hidden="1">
      <c r="A23" s="21"/>
      <c r="B23" s="620" t="s">
        <v>50</v>
      </c>
      <c r="C23" s="620"/>
    </row>
    <row r="24" spans="1:8" ht="15.75" customHeight="1" hidden="1">
      <c r="A24" s="22" t="s">
        <v>25</v>
      </c>
      <c r="B24" s="614" t="s">
        <v>53</v>
      </c>
      <c r="C24" s="614"/>
      <c r="D24" s="22"/>
      <c r="E24" s="22"/>
      <c r="F24" s="22"/>
      <c r="G24" s="22"/>
      <c r="H24" s="22"/>
    </row>
    <row r="25" spans="1:8" ht="15" customHeight="1" hidden="1">
      <c r="A25" s="22"/>
      <c r="B25" s="614" t="s">
        <v>54</v>
      </c>
      <c r="C25" s="614"/>
      <c r="D25" s="614"/>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07" t="s">
        <v>232</v>
      </c>
      <c r="B1" s="807"/>
      <c r="C1" s="807"/>
      <c r="D1" s="810" t="s">
        <v>344</v>
      </c>
      <c r="E1" s="810"/>
      <c r="F1" s="810"/>
      <c r="G1" s="810"/>
      <c r="H1" s="810"/>
      <c r="I1" s="810"/>
      <c r="J1" s="191" t="s">
        <v>345</v>
      </c>
      <c r="K1" s="322"/>
      <c r="L1" s="322"/>
    </row>
    <row r="2" spans="1:12" ht="18.75" customHeight="1">
      <c r="A2" s="808" t="s">
        <v>303</v>
      </c>
      <c r="B2" s="808"/>
      <c r="C2" s="808"/>
      <c r="D2" s="897" t="s">
        <v>233</v>
      </c>
      <c r="E2" s="897"/>
      <c r="F2" s="897"/>
      <c r="G2" s="897"/>
      <c r="H2" s="897"/>
      <c r="I2" s="897"/>
      <c r="J2" s="807" t="s">
        <v>346</v>
      </c>
      <c r="K2" s="807"/>
      <c r="L2" s="807"/>
    </row>
    <row r="3" spans="1:12" ht="17.25">
      <c r="A3" s="808" t="s">
        <v>255</v>
      </c>
      <c r="B3" s="808"/>
      <c r="C3" s="808"/>
      <c r="D3" s="898" t="s">
        <v>347</v>
      </c>
      <c r="E3" s="899"/>
      <c r="F3" s="899"/>
      <c r="G3" s="899"/>
      <c r="H3" s="899"/>
      <c r="I3" s="899"/>
      <c r="J3" s="194" t="s">
        <v>363</v>
      </c>
      <c r="K3" s="194"/>
      <c r="L3" s="194"/>
    </row>
    <row r="4" spans="1:12" ht="15.75">
      <c r="A4" s="894" t="s">
        <v>348</v>
      </c>
      <c r="B4" s="894"/>
      <c r="C4" s="894"/>
      <c r="D4" s="895"/>
      <c r="E4" s="895"/>
      <c r="F4" s="895"/>
      <c r="G4" s="895"/>
      <c r="H4" s="895"/>
      <c r="I4" s="895"/>
      <c r="J4" s="813" t="s">
        <v>305</v>
      </c>
      <c r="K4" s="813"/>
      <c r="L4" s="813"/>
    </row>
    <row r="5" spans="1:13" ht="15.75">
      <c r="A5" s="324"/>
      <c r="B5" s="324"/>
      <c r="C5" s="325"/>
      <c r="D5" s="325"/>
      <c r="E5" s="193"/>
      <c r="J5" s="326" t="s">
        <v>349</v>
      </c>
      <c r="K5" s="241"/>
      <c r="L5" s="241"/>
      <c r="M5" s="241"/>
    </row>
    <row r="6" spans="1:13" s="329" customFormat="1" ht="24.75" customHeight="1">
      <c r="A6" s="888" t="s">
        <v>57</v>
      </c>
      <c r="B6" s="889"/>
      <c r="C6" s="886" t="s">
        <v>350</v>
      </c>
      <c r="D6" s="886"/>
      <c r="E6" s="886"/>
      <c r="F6" s="886"/>
      <c r="G6" s="886"/>
      <c r="H6" s="886"/>
      <c r="I6" s="886" t="s">
        <v>234</v>
      </c>
      <c r="J6" s="886"/>
      <c r="K6" s="886"/>
      <c r="L6" s="886"/>
      <c r="M6" s="328"/>
    </row>
    <row r="7" spans="1:13" s="329" customFormat="1" ht="17.25" customHeight="1">
      <c r="A7" s="890"/>
      <c r="B7" s="891"/>
      <c r="C7" s="886" t="s">
        <v>31</v>
      </c>
      <c r="D7" s="886"/>
      <c r="E7" s="886" t="s">
        <v>7</v>
      </c>
      <c r="F7" s="886"/>
      <c r="G7" s="886"/>
      <c r="H7" s="886"/>
      <c r="I7" s="886" t="s">
        <v>235</v>
      </c>
      <c r="J7" s="886"/>
      <c r="K7" s="886" t="s">
        <v>236</v>
      </c>
      <c r="L7" s="886"/>
      <c r="M7" s="328"/>
    </row>
    <row r="8" spans="1:12" s="329" customFormat="1" ht="27.75" customHeight="1">
      <c r="A8" s="890"/>
      <c r="B8" s="891"/>
      <c r="C8" s="886"/>
      <c r="D8" s="886"/>
      <c r="E8" s="886" t="s">
        <v>237</v>
      </c>
      <c r="F8" s="886"/>
      <c r="G8" s="886" t="s">
        <v>238</v>
      </c>
      <c r="H8" s="886"/>
      <c r="I8" s="886"/>
      <c r="J8" s="886"/>
      <c r="K8" s="886"/>
      <c r="L8" s="886"/>
    </row>
    <row r="9" spans="1:12" s="329" customFormat="1" ht="24.75" customHeight="1">
      <c r="A9" s="892"/>
      <c r="B9" s="893"/>
      <c r="C9" s="327" t="s">
        <v>239</v>
      </c>
      <c r="D9" s="327" t="s">
        <v>9</v>
      </c>
      <c r="E9" s="327" t="s">
        <v>3</v>
      </c>
      <c r="F9" s="327" t="s">
        <v>240</v>
      </c>
      <c r="G9" s="327" t="s">
        <v>3</v>
      </c>
      <c r="H9" s="327" t="s">
        <v>240</v>
      </c>
      <c r="I9" s="327" t="s">
        <v>3</v>
      </c>
      <c r="J9" s="327" t="s">
        <v>240</v>
      </c>
      <c r="K9" s="327" t="s">
        <v>3</v>
      </c>
      <c r="L9" s="327" t="s">
        <v>240</v>
      </c>
    </row>
    <row r="10" spans="1:12" s="331" customFormat="1" ht="15.75">
      <c r="A10" s="792" t="s">
        <v>6</v>
      </c>
      <c r="B10" s="793"/>
      <c r="C10" s="330">
        <v>1</v>
      </c>
      <c r="D10" s="330">
        <v>2</v>
      </c>
      <c r="E10" s="330">
        <v>3</v>
      </c>
      <c r="F10" s="330">
        <v>4</v>
      </c>
      <c r="G10" s="330">
        <v>5</v>
      </c>
      <c r="H10" s="330">
        <v>6</v>
      </c>
      <c r="I10" s="330">
        <v>7</v>
      </c>
      <c r="J10" s="330">
        <v>8</v>
      </c>
      <c r="K10" s="330">
        <v>9</v>
      </c>
      <c r="L10" s="330">
        <v>10</v>
      </c>
    </row>
    <row r="11" spans="1:12" s="331" customFormat="1" ht="30.75" customHeight="1">
      <c r="A11" s="804" t="s">
        <v>300</v>
      </c>
      <c r="B11" s="805"/>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3" t="s">
        <v>301</v>
      </c>
      <c r="B12" s="784"/>
      <c r="C12" s="249">
        <v>0</v>
      </c>
      <c r="D12" s="249">
        <v>0</v>
      </c>
      <c r="E12" s="249">
        <v>0</v>
      </c>
      <c r="F12" s="249">
        <v>0</v>
      </c>
      <c r="G12" s="249">
        <v>0</v>
      </c>
      <c r="H12" s="249">
        <v>0</v>
      </c>
      <c r="I12" s="249">
        <v>0</v>
      </c>
      <c r="J12" s="249">
        <v>0</v>
      </c>
      <c r="K12" s="249">
        <v>0</v>
      </c>
      <c r="L12" s="249">
        <v>0</v>
      </c>
    </row>
    <row r="13" spans="1:32" s="331" customFormat="1" ht="17.25" customHeight="1">
      <c r="A13" s="786" t="s">
        <v>30</v>
      </c>
      <c r="B13" s="78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02" t="s">
        <v>288</v>
      </c>
      <c r="C28" s="802"/>
      <c r="D28" s="802"/>
      <c r="E28" s="204"/>
      <c r="F28" s="258"/>
      <c r="G28" s="258"/>
      <c r="H28" s="801" t="s">
        <v>288</v>
      </c>
      <c r="I28" s="801"/>
      <c r="J28" s="801"/>
      <c r="K28" s="801"/>
      <c r="L28" s="801"/>
      <c r="AG28" s="192" t="s">
        <v>289</v>
      </c>
      <c r="AI28" s="190">
        <f>82/88</f>
        <v>0.9318181818181818</v>
      </c>
    </row>
    <row r="29" spans="1:12" s="192" customFormat="1" ht="19.5" customHeight="1">
      <c r="A29" s="202"/>
      <c r="B29" s="803" t="s">
        <v>241</v>
      </c>
      <c r="C29" s="803"/>
      <c r="D29" s="803"/>
      <c r="E29" s="204"/>
      <c r="F29" s="205"/>
      <c r="G29" s="205"/>
      <c r="H29" s="806" t="s">
        <v>159</v>
      </c>
      <c r="I29" s="806"/>
      <c r="J29" s="806"/>
      <c r="K29" s="806"/>
      <c r="L29" s="806"/>
    </row>
    <row r="30" spans="1:12" s="196" customFormat="1" ht="15" customHeight="1">
      <c r="A30" s="202"/>
      <c r="B30" s="887"/>
      <c r="C30" s="887"/>
      <c r="D30" s="887"/>
      <c r="E30" s="204"/>
      <c r="F30" s="205"/>
      <c r="G30" s="205"/>
      <c r="H30" s="759"/>
      <c r="I30" s="759"/>
      <c r="J30" s="759"/>
      <c r="K30" s="759"/>
      <c r="L30" s="75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5" t="s">
        <v>292</v>
      </c>
      <c r="C33" s="885"/>
      <c r="D33" s="885"/>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96" t="s">
        <v>242</v>
      </c>
      <c r="C37" s="896"/>
      <c r="D37" s="896"/>
      <c r="E37" s="896"/>
      <c r="F37" s="896"/>
      <c r="G37" s="896"/>
      <c r="H37" s="896"/>
      <c r="I37" s="896"/>
      <c r="J37" s="896"/>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31" t="s">
        <v>334</v>
      </c>
      <c r="C41" s="631"/>
      <c r="D41" s="631"/>
      <c r="E41" s="210"/>
      <c r="F41" s="210"/>
      <c r="G41" s="182"/>
      <c r="H41" s="632" t="s">
        <v>249</v>
      </c>
      <c r="I41" s="632"/>
      <c r="J41" s="632"/>
      <c r="K41" s="632"/>
      <c r="L41" s="632"/>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00" t="s">
        <v>376</v>
      </c>
      <c r="M1" s="901"/>
      <c r="N1" s="901"/>
      <c r="O1" s="365"/>
      <c r="P1" s="365"/>
      <c r="Q1" s="365"/>
      <c r="R1" s="365"/>
      <c r="S1" s="365"/>
      <c r="T1" s="365"/>
      <c r="U1" s="365"/>
      <c r="V1" s="365"/>
      <c r="W1" s="365"/>
      <c r="X1" s="365"/>
      <c r="Y1" s="366"/>
    </row>
    <row r="2" spans="11:17" ht="34.5" customHeight="1">
      <c r="K2" s="349"/>
      <c r="L2" s="902" t="s">
        <v>383</v>
      </c>
      <c r="M2" s="903"/>
      <c r="N2" s="904"/>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tabSelected="1" view="pageBreakPreview" zoomScale="90" zoomScaleSheetLayoutView="90"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905" t="s">
        <v>431</v>
      </c>
      <c r="B2" s="905"/>
    </row>
    <row r="3" spans="1:2" ht="22.5" customHeight="1">
      <c r="A3" s="383" t="s">
        <v>424</v>
      </c>
      <c r="B3" s="550" t="s">
        <v>571</v>
      </c>
    </row>
    <row r="4" spans="1:2" ht="22.5" customHeight="1">
      <c r="A4" s="383" t="s">
        <v>423</v>
      </c>
      <c r="B4" s="384" t="s">
        <v>433</v>
      </c>
    </row>
    <row r="5" spans="1:2" ht="22.5" customHeight="1">
      <c r="A5" s="383" t="s">
        <v>425</v>
      </c>
      <c r="B5" s="391" t="s">
        <v>434</v>
      </c>
    </row>
    <row r="6" spans="1:2" ht="22.5" customHeight="1">
      <c r="A6" s="383" t="s">
        <v>426</v>
      </c>
      <c r="B6" s="391" t="s">
        <v>509</v>
      </c>
    </row>
    <row r="7" spans="1:2" ht="22.5" customHeight="1">
      <c r="A7" s="383" t="s">
        <v>427</v>
      </c>
      <c r="B7" s="391" t="s">
        <v>436</v>
      </c>
    </row>
    <row r="8" spans="1:2" ht="15.75">
      <c r="A8" s="385" t="s">
        <v>428</v>
      </c>
      <c r="B8" s="392" t="s">
        <v>574</v>
      </c>
    </row>
    <row r="10" spans="1:2" ht="62.25" customHeight="1">
      <c r="A10" s="906" t="s">
        <v>432</v>
      </c>
      <c r="B10" s="906"/>
    </row>
    <row r="11" spans="1:2" ht="15.75">
      <c r="A11" s="907"/>
      <c r="B11" s="907"/>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W34"/>
  <sheetViews>
    <sheetView view="pageBreakPreview" zoomScale="120" zoomScaleNormal="80" zoomScaleSheetLayoutView="120" zoomScalePageLayoutView="0" workbookViewId="0" topLeftCell="A7">
      <pane xSplit="3" ySplit="6" topLeftCell="D13" activePane="bottomRight" state="frozen"/>
      <selection pane="topLeft" activeCell="A7" sqref="A7"/>
      <selection pane="topRight" activeCell="D7" sqref="D7"/>
      <selection pane="bottomLeft" activeCell="A13" sqref="A13"/>
      <selection pane="bottomRight" activeCell="M21" sqref="M21"/>
    </sheetView>
  </sheetViews>
  <sheetFormatPr defaultColWidth="9.00390625" defaultRowHeight="15.75"/>
  <cols>
    <col min="1" max="1" width="4.75390625" style="0" customWidth="1"/>
    <col min="2" max="2" width="11.625" style="0" customWidth="1"/>
    <col min="3" max="4" width="6.625" style="0" customWidth="1"/>
    <col min="5" max="5" width="6.50390625" style="0" customWidth="1"/>
    <col min="6" max="6" width="5.375" style="0" customWidth="1"/>
    <col min="7" max="7" width="5.00390625" style="0" customWidth="1"/>
    <col min="8" max="8" width="6.375" style="0" customWidth="1"/>
    <col min="9" max="9" width="6.125" style="0" customWidth="1"/>
    <col min="10" max="10" width="6.25390625" style="0" customWidth="1"/>
    <col min="11" max="11" width="6.00390625" style="0" customWidth="1"/>
    <col min="12" max="12" width="6.875" style="0" customWidth="1"/>
    <col min="13" max="13" width="5.75390625" style="0" customWidth="1"/>
    <col min="14" max="14" width="5.625" style="0" customWidth="1"/>
    <col min="15" max="15" width="4.625" style="0" customWidth="1"/>
    <col min="16" max="16" width="6.125" style="0" customWidth="1"/>
    <col min="17" max="17" width="5.375" style="0" customWidth="1"/>
    <col min="18" max="18" width="6.50390625" style="0" customWidth="1"/>
    <col min="19" max="19" width="8.00390625" style="0" customWidth="1"/>
    <col min="20" max="20" width="6.375" style="0" customWidth="1"/>
    <col min="21" max="21" width="8.50390625" style="0" customWidth="1"/>
  </cols>
  <sheetData>
    <row r="1" spans="1:20" ht="15.75">
      <c r="A1" s="394"/>
      <c r="B1" s="394"/>
      <c r="C1" s="394"/>
      <c r="D1" s="394"/>
      <c r="E1" s="394"/>
      <c r="F1" s="394"/>
      <c r="G1" s="394"/>
      <c r="H1" s="394"/>
      <c r="I1" s="394"/>
      <c r="J1" s="394"/>
      <c r="K1" s="394"/>
      <c r="L1" s="394"/>
      <c r="M1" s="394"/>
      <c r="N1" s="394"/>
      <c r="O1" s="394"/>
      <c r="P1" s="394"/>
      <c r="Q1" s="394"/>
      <c r="R1" s="394"/>
      <c r="S1" s="394"/>
      <c r="T1" s="394"/>
    </row>
    <row r="2" spans="1:20" ht="16.5">
      <c r="A2" s="395" t="s">
        <v>524</v>
      </c>
      <c r="B2" s="395"/>
      <c r="C2" s="395"/>
      <c r="D2" s="394"/>
      <c r="E2" s="957" t="s">
        <v>66</v>
      </c>
      <c r="F2" s="957"/>
      <c r="G2" s="957"/>
      <c r="H2" s="957"/>
      <c r="I2" s="957"/>
      <c r="J2" s="957"/>
      <c r="K2" s="957"/>
      <c r="L2" s="957"/>
      <c r="M2" s="957"/>
      <c r="N2" s="957"/>
      <c r="O2" s="957"/>
      <c r="P2" s="958" t="s">
        <v>429</v>
      </c>
      <c r="Q2" s="958"/>
      <c r="R2" s="958"/>
      <c r="S2" s="958"/>
      <c r="T2" s="460"/>
    </row>
    <row r="3" spans="1:20" ht="16.5">
      <c r="A3" s="959" t="s">
        <v>245</v>
      </c>
      <c r="B3" s="959"/>
      <c r="C3" s="959"/>
      <c r="D3" s="959"/>
      <c r="E3" s="960" t="s">
        <v>34</v>
      </c>
      <c r="F3" s="960"/>
      <c r="G3" s="960"/>
      <c r="H3" s="960"/>
      <c r="I3" s="960"/>
      <c r="J3" s="960"/>
      <c r="K3" s="960"/>
      <c r="L3" s="960"/>
      <c r="M3" s="960"/>
      <c r="N3" s="960"/>
      <c r="O3" s="960"/>
      <c r="P3" s="956" t="str">
        <f>'Thong tin'!B4</f>
        <v>CTHADS TRÀ VINH</v>
      </c>
      <c r="Q3" s="956"/>
      <c r="R3" s="956"/>
      <c r="S3" s="956"/>
      <c r="T3" s="459"/>
    </row>
    <row r="4" spans="1:20" ht="16.5">
      <c r="A4" s="959" t="s">
        <v>246</v>
      </c>
      <c r="B4" s="959"/>
      <c r="C4" s="959"/>
      <c r="D4" s="959"/>
      <c r="E4" s="961" t="str">
        <f>'Thong tin'!B3</f>
        <v>11 tháng / năm 2019</v>
      </c>
      <c r="F4" s="961"/>
      <c r="G4" s="961"/>
      <c r="H4" s="961"/>
      <c r="I4" s="961"/>
      <c r="J4" s="961"/>
      <c r="K4" s="961"/>
      <c r="L4" s="961"/>
      <c r="M4" s="961"/>
      <c r="N4" s="961"/>
      <c r="O4" s="961"/>
      <c r="P4" s="958" t="s">
        <v>447</v>
      </c>
      <c r="Q4" s="958"/>
      <c r="R4" s="958"/>
      <c r="S4" s="958"/>
      <c r="T4" s="460"/>
    </row>
    <row r="5" spans="1:20" ht="15.75">
      <c r="A5" s="395" t="s">
        <v>522</v>
      </c>
      <c r="B5" s="395"/>
      <c r="C5" s="395"/>
      <c r="D5" s="395"/>
      <c r="E5" s="395"/>
      <c r="F5" s="395"/>
      <c r="G5" s="395"/>
      <c r="H5" s="395"/>
      <c r="I5" s="395"/>
      <c r="J5" s="395"/>
      <c r="K5" s="395"/>
      <c r="L5" s="395"/>
      <c r="M5" s="395"/>
      <c r="N5" s="433"/>
      <c r="O5" s="433"/>
      <c r="P5" s="956" t="s">
        <v>521</v>
      </c>
      <c r="Q5" s="956"/>
      <c r="R5" s="956"/>
      <c r="S5" s="956"/>
      <c r="T5" s="459"/>
    </row>
    <row r="6" spans="1:20" ht="15.75">
      <c r="A6" s="394"/>
      <c r="B6" s="432"/>
      <c r="C6" s="432"/>
      <c r="D6" s="394"/>
      <c r="E6" s="394"/>
      <c r="F6" s="394"/>
      <c r="G6" s="394"/>
      <c r="H6" s="394"/>
      <c r="I6" s="394"/>
      <c r="J6" s="394"/>
      <c r="K6" s="394"/>
      <c r="L6" s="394"/>
      <c r="M6" s="394"/>
      <c r="N6" s="394"/>
      <c r="O6" s="394"/>
      <c r="P6" s="941" t="s">
        <v>8</v>
      </c>
      <c r="Q6" s="941"/>
      <c r="R6" s="941"/>
      <c r="S6" s="941"/>
      <c r="T6" s="460"/>
    </row>
    <row r="7" spans="1:22" ht="15.75" customHeight="1">
      <c r="A7" s="942" t="s">
        <v>57</v>
      </c>
      <c r="B7" s="943"/>
      <c r="C7" s="948" t="s">
        <v>126</v>
      </c>
      <c r="D7" s="949"/>
      <c r="E7" s="950"/>
      <c r="F7" s="951" t="s">
        <v>101</v>
      </c>
      <c r="G7" s="923" t="s">
        <v>127</v>
      </c>
      <c r="H7" s="953" t="s">
        <v>102</v>
      </c>
      <c r="I7" s="954"/>
      <c r="J7" s="954"/>
      <c r="K7" s="954"/>
      <c r="L7" s="954"/>
      <c r="M7" s="954"/>
      <c r="N7" s="954"/>
      <c r="O7" s="954"/>
      <c r="P7" s="954"/>
      <c r="Q7" s="955"/>
      <c r="R7" s="940" t="s">
        <v>250</v>
      </c>
      <c r="S7" s="925" t="s">
        <v>520</v>
      </c>
      <c r="T7" s="908" t="s">
        <v>519</v>
      </c>
      <c r="U7" s="910"/>
      <c r="V7" s="910"/>
    </row>
    <row r="8" spans="1:22" ht="15.75">
      <c r="A8" s="944"/>
      <c r="B8" s="945"/>
      <c r="C8" s="940" t="s">
        <v>42</v>
      </c>
      <c r="D8" s="929" t="s">
        <v>7</v>
      </c>
      <c r="E8" s="930"/>
      <c r="F8" s="952"/>
      <c r="G8" s="933"/>
      <c r="H8" s="923" t="s">
        <v>31</v>
      </c>
      <c r="I8" s="929" t="s">
        <v>103</v>
      </c>
      <c r="J8" s="934"/>
      <c r="K8" s="934"/>
      <c r="L8" s="934"/>
      <c r="M8" s="934"/>
      <c r="N8" s="934"/>
      <c r="O8" s="934"/>
      <c r="P8" s="935"/>
      <c r="Q8" s="930" t="s">
        <v>128</v>
      </c>
      <c r="R8" s="933"/>
      <c r="S8" s="922"/>
      <c r="T8" s="909"/>
      <c r="U8" s="911"/>
      <c r="V8" s="911"/>
    </row>
    <row r="9" spans="1:22" ht="15.75">
      <c r="A9" s="944"/>
      <c r="B9" s="945"/>
      <c r="C9" s="933"/>
      <c r="D9" s="931"/>
      <c r="E9" s="932"/>
      <c r="F9" s="952"/>
      <c r="G9" s="933"/>
      <c r="H9" s="933"/>
      <c r="I9" s="923" t="s">
        <v>31</v>
      </c>
      <c r="J9" s="937" t="s">
        <v>7</v>
      </c>
      <c r="K9" s="938"/>
      <c r="L9" s="938"/>
      <c r="M9" s="938"/>
      <c r="N9" s="938"/>
      <c r="O9" s="938"/>
      <c r="P9" s="939"/>
      <c r="Q9" s="936"/>
      <c r="R9" s="933"/>
      <c r="S9" s="922"/>
      <c r="T9" s="909"/>
      <c r="U9" s="911"/>
      <c r="V9" s="911"/>
    </row>
    <row r="10" spans="1:22" ht="15.75">
      <c r="A10" s="944"/>
      <c r="B10" s="945"/>
      <c r="C10" s="933"/>
      <c r="D10" s="940" t="s">
        <v>129</v>
      </c>
      <c r="E10" s="940" t="s">
        <v>130</v>
      </c>
      <c r="F10" s="952"/>
      <c r="G10" s="933"/>
      <c r="H10" s="933"/>
      <c r="I10" s="933"/>
      <c r="J10" s="939" t="s">
        <v>131</v>
      </c>
      <c r="K10" s="925" t="s">
        <v>132</v>
      </c>
      <c r="L10" s="922" t="s">
        <v>105</v>
      </c>
      <c r="M10" s="923" t="s">
        <v>133</v>
      </c>
      <c r="N10" s="923" t="s">
        <v>108</v>
      </c>
      <c r="O10" s="923" t="s">
        <v>251</v>
      </c>
      <c r="P10" s="923" t="s">
        <v>111</v>
      </c>
      <c r="Q10" s="936"/>
      <c r="R10" s="933"/>
      <c r="S10" s="922"/>
      <c r="T10" s="909"/>
      <c r="U10" s="911"/>
      <c r="V10" s="911"/>
    </row>
    <row r="11" spans="1:22" ht="15.75">
      <c r="A11" s="946"/>
      <c r="B11" s="947"/>
      <c r="C11" s="924"/>
      <c r="D11" s="924"/>
      <c r="E11" s="924"/>
      <c r="F11" s="931"/>
      <c r="G11" s="924"/>
      <c r="H11" s="924"/>
      <c r="I11" s="924"/>
      <c r="J11" s="939"/>
      <c r="K11" s="925"/>
      <c r="L11" s="922"/>
      <c r="M11" s="924"/>
      <c r="N11" s="924" t="s">
        <v>108</v>
      </c>
      <c r="O11" s="924" t="s">
        <v>251</v>
      </c>
      <c r="P11" s="924" t="s">
        <v>111</v>
      </c>
      <c r="Q11" s="932"/>
      <c r="R11" s="924"/>
      <c r="S11" s="922"/>
      <c r="T11" s="909"/>
      <c r="U11" s="911"/>
      <c r="V11" s="911"/>
    </row>
    <row r="12" spans="1:22" ht="15.75">
      <c r="A12" s="926" t="s">
        <v>6</v>
      </c>
      <c r="B12" s="927"/>
      <c r="C12" s="431">
        <v>1</v>
      </c>
      <c r="D12" s="431">
        <v>2</v>
      </c>
      <c r="E12" s="431">
        <v>3</v>
      </c>
      <c r="F12" s="431">
        <v>4</v>
      </c>
      <c r="G12" s="431">
        <v>5</v>
      </c>
      <c r="H12" s="431">
        <v>6</v>
      </c>
      <c r="I12" s="431">
        <v>7</v>
      </c>
      <c r="J12" s="431">
        <v>8</v>
      </c>
      <c r="K12" s="431">
        <v>9</v>
      </c>
      <c r="L12" s="431">
        <v>10</v>
      </c>
      <c r="M12" s="431">
        <v>11</v>
      </c>
      <c r="N12" s="431">
        <v>12</v>
      </c>
      <c r="O12" s="431">
        <v>13</v>
      </c>
      <c r="P12" s="431">
        <v>14</v>
      </c>
      <c r="Q12" s="431">
        <v>15</v>
      </c>
      <c r="R12" s="431">
        <v>16</v>
      </c>
      <c r="S12" s="431">
        <v>17</v>
      </c>
      <c r="T12" s="431">
        <v>19</v>
      </c>
      <c r="U12" s="430"/>
      <c r="V12" s="430"/>
    </row>
    <row r="13" spans="1:23" ht="15.75">
      <c r="A13" s="917" t="s">
        <v>30</v>
      </c>
      <c r="B13" s="918"/>
      <c r="C13" s="559">
        <f aca="true" t="shared" si="0" ref="C13:R13">+C14+C15</f>
        <v>19303</v>
      </c>
      <c r="D13" s="559">
        <f t="shared" si="0"/>
        <v>7529</v>
      </c>
      <c r="E13" s="559">
        <f t="shared" si="0"/>
        <v>11774</v>
      </c>
      <c r="F13" s="559">
        <f t="shared" si="0"/>
        <v>122</v>
      </c>
      <c r="G13" s="559">
        <f t="shared" si="0"/>
        <v>12</v>
      </c>
      <c r="H13" s="559">
        <f t="shared" si="0"/>
        <v>19181</v>
      </c>
      <c r="I13" s="559">
        <f t="shared" si="0"/>
        <v>14710</v>
      </c>
      <c r="J13" s="559">
        <f t="shared" si="0"/>
        <v>9440</v>
      </c>
      <c r="K13" s="559">
        <f t="shared" si="0"/>
        <v>408</v>
      </c>
      <c r="L13" s="559">
        <f t="shared" si="0"/>
        <v>4803</v>
      </c>
      <c r="M13" s="559">
        <f t="shared" si="0"/>
        <v>34</v>
      </c>
      <c r="N13" s="559">
        <f t="shared" si="0"/>
        <v>2</v>
      </c>
      <c r="O13" s="559">
        <f t="shared" si="0"/>
        <v>0</v>
      </c>
      <c r="P13" s="559">
        <f t="shared" si="0"/>
        <v>23</v>
      </c>
      <c r="Q13" s="559">
        <f t="shared" si="0"/>
        <v>4471</v>
      </c>
      <c r="R13" s="559">
        <f t="shared" si="0"/>
        <v>9333</v>
      </c>
      <c r="S13" s="560">
        <f aca="true" t="shared" si="1" ref="S13:S24">(((J13+K13))/I13)*100</f>
        <v>66.94765465669612</v>
      </c>
      <c r="T13" s="561">
        <f>J13+K13</f>
        <v>9848</v>
      </c>
      <c r="U13" s="429"/>
      <c r="V13" s="428"/>
      <c r="W13" s="429"/>
    </row>
    <row r="14" spans="1:23" ht="15.75">
      <c r="A14" s="483" t="s">
        <v>0</v>
      </c>
      <c r="B14" s="393" t="s">
        <v>446</v>
      </c>
      <c r="C14" s="559">
        <f>'06'!C12</f>
        <v>542</v>
      </c>
      <c r="D14" s="559">
        <f>'06'!D12</f>
        <v>225</v>
      </c>
      <c r="E14" s="559">
        <f>'06'!E12</f>
        <v>317</v>
      </c>
      <c r="F14" s="559">
        <f>'06'!F12</f>
        <v>1</v>
      </c>
      <c r="G14" s="559">
        <f>'06'!G12</f>
        <v>6</v>
      </c>
      <c r="H14" s="559">
        <f>'06'!H12</f>
        <v>541</v>
      </c>
      <c r="I14" s="559">
        <f>'06'!I12</f>
        <v>398</v>
      </c>
      <c r="J14" s="559">
        <f>'06'!J12</f>
        <v>220</v>
      </c>
      <c r="K14" s="559">
        <f>'06'!K12</f>
        <v>1</v>
      </c>
      <c r="L14" s="559">
        <f>'06'!L12</f>
        <v>168</v>
      </c>
      <c r="M14" s="559">
        <f>'06'!M12</f>
        <v>3</v>
      </c>
      <c r="N14" s="559">
        <f>'06'!N12</f>
        <v>1</v>
      </c>
      <c r="O14" s="559">
        <f>'06'!O12</f>
        <v>0</v>
      </c>
      <c r="P14" s="559">
        <f>'06'!P12</f>
        <v>5</v>
      </c>
      <c r="Q14" s="559">
        <f>'06'!Q12</f>
        <v>143</v>
      </c>
      <c r="R14" s="559">
        <f>'06'!R12</f>
        <v>320</v>
      </c>
      <c r="S14" s="560">
        <f t="shared" si="1"/>
        <v>55.527638190954775</v>
      </c>
      <c r="T14" s="561">
        <f aca="true" t="shared" si="2" ref="T14:T24">J14+K14</f>
        <v>221</v>
      </c>
      <c r="U14" s="429"/>
      <c r="V14" s="428"/>
      <c r="W14" s="429"/>
    </row>
    <row r="15" spans="1:23" ht="15.75">
      <c r="A15" s="562" t="s">
        <v>1</v>
      </c>
      <c r="B15" s="563" t="s">
        <v>17</v>
      </c>
      <c r="C15" s="559">
        <f aca="true" t="shared" si="3" ref="C15:R15">SUM(C16:C24)</f>
        <v>18761</v>
      </c>
      <c r="D15" s="559">
        <f t="shared" si="3"/>
        <v>7304</v>
      </c>
      <c r="E15" s="559">
        <f t="shared" si="3"/>
        <v>11457</v>
      </c>
      <c r="F15" s="559">
        <f t="shared" si="3"/>
        <v>121</v>
      </c>
      <c r="G15" s="559">
        <f t="shared" si="3"/>
        <v>6</v>
      </c>
      <c r="H15" s="559">
        <f t="shared" si="3"/>
        <v>18640</v>
      </c>
      <c r="I15" s="559">
        <f t="shared" si="3"/>
        <v>14312</v>
      </c>
      <c r="J15" s="559">
        <f t="shared" si="3"/>
        <v>9220</v>
      </c>
      <c r="K15" s="559">
        <f t="shared" si="3"/>
        <v>407</v>
      </c>
      <c r="L15" s="559">
        <f t="shared" si="3"/>
        <v>4635</v>
      </c>
      <c r="M15" s="559">
        <f t="shared" si="3"/>
        <v>31</v>
      </c>
      <c r="N15" s="559">
        <f t="shared" si="3"/>
        <v>1</v>
      </c>
      <c r="O15" s="559">
        <f t="shared" si="3"/>
        <v>0</v>
      </c>
      <c r="P15" s="559">
        <f t="shared" si="3"/>
        <v>18</v>
      </c>
      <c r="Q15" s="559">
        <f t="shared" si="3"/>
        <v>4328</v>
      </c>
      <c r="R15" s="559">
        <f t="shared" si="3"/>
        <v>9013</v>
      </c>
      <c r="S15" s="560">
        <f t="shared" si="1"/>
        <v>67.26523197316936</v>
      </c>
      <c r="T15" s="561">
        <f t="shared" si="2"/>
        <v>9627</v>
      </c>
      <c r="U15" s="429"/>
      <c r="V15" s="428"/>
      <c r="W15" s="429"/>
    </row>
    <row r="16" spans="1:23" ht="15.75">
      <c r="A16" s="484" t="s">
        <v>43</v>
      </c>
      <c r="B16" s="393" t="s">
        <v>445</v>
      </c>
      <c r="C16" s="559">
        <f>'06'!C24</f>
        <v>2038</v>
      </c>
      <c r="D16" s="559">
        <f>'06'!D24</f>
        <v>884</v>
      </c>
      <c r="E16" s="559">
        <f>'06'!E24</f>
        <v>1154</v>
      </c>
      <c r="F16" s="559">
        <f>'06'!F24</f>
        <v>24</v>
      </c>
      <c r="G16" s="559">
        <f>'06'!G24</f>
        <v>2</v>
      </c>
      <c r="H16" s="559">
        <f>'06'!H24</f>
        <v>2014</v>
      </c>
      <c r="I16" s="559">
        <f>'06'!I24</f>
        <v>1427</v>
      </c>
      <c r="J16" s="559">
        <f>'06'!J24</f>
        <v>962</v>
      </c>
      <c r="K16" s="559">
        <f>'06'!K24</f>
        <v>34</v>
      </c>
      <c r="L16" s="559">
        <f>'06'!L24</f>
        <v>396</v>
      </c>
      <c r="M16" s="559">
        <f>'06'!M24</f>
        <v>22</v>
      </c>
      <c r="N16" s="559">
        <f>'06'!N24</f>
        <v>0</v>
      </c>
      <c r="O16" s="559">
        <f>'06'!O24</f>
        <v>0</v>
      </c>
      <c r="P16" s="559">
        <f>'06'!P24</f>
        <v>13</v>
      </c>
      <c r="Q16" s="559">
        <f>'06'!Q24</f>
        <v>587</v>
      </c>
      <c r="R16" s="559">
        <f>'06'!R24</f>
        <v>1018</v>
      </c>
      <c r="S16" s="560">
        <f t="shared" si="1"/>
        <v>69.7967764540995</v>
      </c>
      <c r="T16" s="561">
        <f t="shared" si="2"/>
        <v>996</v>
      </c>
      <c r="U16" s="429"/>
      <c r="V16" s="428"/>
      <c r="W16" s="429"/>
    </row>
    <row r="17" spans="1:23" ht="15.75">
      <c r="A17" s="484" t="s">
        <v>44</v>
      </c>
      <c r="B17" s="564" t="s">
        <v>444</v>
      </c>
      <c r="C17" s="559">
        <f>'06'!C33</f>
        <v>2765</v>
      </c>
      <c r="D17" s="559">
        <f>'06'!D33</f>
        <v>1103</v>
      </c>
      <c r="E17" s="559">
        <f>'06'!E33</f>
        <v>1662</v>
      </c>
      <c r="F17" s="559">
        <f>'06'!F33</f>
        <v>43</v>
      </c>
      <c r="G17" s="559">
        <f>'06'!G33</f>
        <v>0</v>
      </c>
      <c r="H17" s="559">
        <f>'06'!H33</f>
        <v>2722</v>
      </c>
      <c r="I17" s="559">
        <f>'06'!I33</f>
        <v>2067</v>
      </c>
      <c r="J17" s="559">
        <f>'06'!J33</f>
        <v>1323</v>
      </c>
      <c r="K17" s="559">
        <f>'06'!K33</f>
        <v>25</v>
      </c>
      <c r="L17" s="559">
        <f>'06'!L33</f>
        <v>719</v>
      </c>
      <c r="M17" s="559">
        <f>'06'!M33</f>
        <v>0</v>
      </c>
      <c r="N17" s="559">
        <f>'06'!N33</f>
        <v>0</v>
      </c>
      <c r="O17" s="559">
        <f>'06'!O33</f>
        <v>0</v>
      </c>
      <c r="P17" s="559">
        <f>'06'!P33</f>
        <v>0</v>
      </c>
      <c r="Q17" s="559">
        <f>'06'!Q33</f>
        <v>655</v>
      </c>
      <c r="R17" s="559">
        <f>'06'!R33</f>
        <v>1374</v>
      </c>
      <c r="S17" s="560">
        <f t="shared" si="1"/>
        <v>65.21528785679729</v>
      </c>
      <c r="T17" s="561">
        <f t="shared" si="2"/>
        <v>1348</v>
      </c>
      <c r="U17" s="429"/>
      <c r="V17" s="428"/>
      <c r="W17" s="429"/>
    </row>
    <row r="18" spans="1:23" ht="15.75">
      <c r="A18" s="484" t="s">
        <v>49</v>
      </c>
      <c r="B18" s="393" t="s">
        <v>443</v>
      </c>
      <c r="C18" s="559">
        <f>'06'!C39</f>
        <v>1420</v>
      </c>
      <c r="D18" s="559">
        <f>'06'!D39</f>
        <v>556</v>
      </c>
      <c r="E18" s="559">
        <f>'06'!E39</f>
        <v>864</v>
      </c>
      <c r="F18" s="559">
        <f>'06'!F39</f>
        <v>14</v>
      </c>
      <c r="G18" s="559">
        <f>'06'!G39</f>
        <v>0</v>
      </c>
      <c r="H18" s="559">
        <f>'06'!H39</f>
        <v>1406</v>
      </c>
      <c r="I18" s="559">
        <f>'06'!I39</f>
        <v>1037</v>
      </c>
      <c r="J18" s="559">
        <f>'06'!J39</f>
        <v>654</v>
      </c>
      <c r="K18" s="559">
        <f>'06'!K39</f>
        <v>5</v>
      </c>
      <c r="L18" s="559">
        <f>'06'!L39</f>
        <v>371</v>
      </c>
      <c r="M18" s="559">
        <f>'06'!M39</f>
        <v>3</v>
      </c>
      <c r="N18" s="559">
        <f>'06'!N39</f>
        <v>0</v>
      </c>
      <c r="O18" s="559">
        <f>'06'!O39</f>
        <v>0</v>
      </c>
      <c r="P18" s="559">
        <f>'06'!P39</f>
        <v>4</v>
      </c>
      <c r="Q18" s="559">
        <f>'06'!Q39</f>
        <v>369</v>
      </c>
      <c r="R18" s="559">
        <f>'06'!R39</f>
        <v>747</v>
      </c>
      <c r="S18" s="560">
        <f t="shared" si="1"/>
        <v>63.548698167791706</v>
      </c>
      <c r="T18" s="561">
        <f t="shared" si="2"/>
        <v>659</v>
      </c>
      <c r="U18" s="429"/>
      <c r="V18" s="428"/>
      <c r="W18" s="429"/>
    </row>
    <row r="19" spans="1:23" ht="15.75">
      <c r="A19" s="484" t="s">
        <v>58</v>
      </c>
      <c r="B19" s="393" t="s">
        <v>442</v>
      </c>
      <c r="C19" s="559">
        <f>'06'!C44</f>
        <v>1283</v>
      </c>
      <c r="D19" s="559">
        <f>'06'!D44</f>
        <v>384</v>
      </c>
      <c r="E19" s="559">
        <f>'06'!E44</f>
        <v>899</v>
      </c>
      <c r="F19" s="559">
        <f>'06'!F44</f>
        <v>5</v>
      </c>
      <c r="G19" s="559">
        <f>'06'!G44</f>
        <v>0</v>
      </c>
      <c r="H19" s="559">
        <f>'06'!H44</f>
        <v>1278</v>
      </c>
      <c r="I19" s="559">
        <f>'06'!I44</f>
        <v>1033</v>
      </c>
      <c r="J19" s="559">
        <f>'06'!J44</f>
        <v>714</v>
      </c>
      <c r="K19" s="559">
        <f>'06'!K44</f>
        <v>36</v>
      </c>
      <c r="L19" s="559">
        <f>'06'!L44</f>
        <v>283</v>
      </c>
      <c r="M19" s="559">
        <f>'06'!M44</f>
        <v>0</v>
      </c>
      <c r="N19" s="559">
        <f>'06'!N44</f>
        <v>0</v>
      </c>
      <c r="O19" s="559">
        <f>'06'!O44</f>
        <v>0</v>
      </c>
      <c r="P19" s="559">
        <f>'06'!P44</f>
        <v>0</v>
      </c>
      <c r="Q19" s="559">
        <f>'06'!Q44</f>
        <v>245</v>
      </c>
      <c r="R19" s="559">
        <f>'06'!R44</f>
        <v>528</v>
      </c>
      <c r="S19" s="560">
        <f t="shared" si="1"/>
        <v>72.60406582768636</v>
      </c>
      <c r="T19" s="561">
        <f t="shared" si="2"/>
        <v>750</v>
      </c>
      <c r="U19" s="429"/>
      <c r="V19" s="428"/>
      <c r="W19" s="429"/>
    </row>
    <row r="20" spans="1:23" ht="15.75">
      <c r="A20" s="484" t="s">
        <v>59</v>
      </c>
      <c r="B20" s="393" t="s">
        <v>441</v>
      </c>
      <c r="C20" s="559">
        <f>'06'!C48</f>
        <v>1322</v>
      </c>
      <c r="D20" s="559">
        <f>'06'!D48</f>
        <v>449</v>
      </c>
      <c r="E20" s="559">
        <f>'06'!E48</f>
        <v>873</v>
      </c>
      <c r="F20" s="559">
        <f>'06'!F48</f>
        <v>11</v>
      </c>
      <c r="G20" s="559">
        <f>'06'!G48</f>
        <v>0</v>
      </c>
      <c r="H20" s="559">
        <f>'06'!H48</f>
        <v>1311</v>
      </c>
      <c r="I20" s="559">
        <f>'06'!I48</f>
        <v>1009</v>
      </c>
      <c r="J20" s="559">
        <f>'06'!J48</f>
        <v>735</v>
      </c>
      <c r="K20" s="559">
        <f>'06'!K48</f>
        <v>19</v>
      </c>
      <c r="L20" s="559">
        <f>'06'!L48</f>
        <v>252</v>
      </c>
      <c r="M20" s="559">
        <f>'06'!M48</f>
        <v>3</v>
      </c>
      <c r="N20" s="559">
        <f>'06'!N48</f>
        <v>0</v>
      </c>
      <c r="O20" s="559">
        <f>'06'!O48</f>
        <v>0</v>
      </c>
      <c r="P20" s="559">
        <f>'06'!P48</f>
        <v>0</v>
      </c>
      <c r="Q20" s="559">
        <f>'06'!Q48</f>
        <v>302</v>
      </c>
      <c r="R20" s="559">
        <f>'06'!R48</f>
        <v>557</v>
      </c>
      <c r="S20" s="560">
        <f t="shared" si="1"/>
        <v>74.72745292368683</v>
      </c>
      <c r="T20" s="561">
        <f t="shared" si="2"/>
        <v>754</v>
      </c>
      <c r="U20" s="429"/>
      <c r="V20" s="428"/>
      <c r="W20" s="429"/>
    </row>
    <row r="21" spans="1:23" ht="15.75">
      <c r="A21" s="484" t="s">
        <v>60</v>
      </c>
      <c r="B21" s="393" t="s">
        <v>440</v>
      </c>
      <c r="C21" s="559">
        <f>'06'!C54</f>
        <v>2784</v>
      </c>
      <c r="D21" s="559">
        <f>'06'!D54</f>
        <v>1095</v>
      </c>
      <c r="E21" s="559">
        <f>'06'!E54</f>
        <v>1689</v>
      </c>
      <c r="F21" s="559">
        <f>'06'!F54</f>
        <v>3</v>
      </c>
      <c r="G21" s="559">
        <f>'06'!G54</f>
        <v>0</v>
      </c>
      <c r="H21" s="559">
        <f>'06'!H54</f>
        <v>2781</v>
      </c>
      <c r="I21" s="559">
        <f>'06'!I54</f>
        <v>2227</v>
      </c>
      <c r="J21" s="559">
        <f>'06'!J54</f>
        <v>1424</v>
      </c>
      <c r="K21" s="559">
        <f>'06'!K54</f>
        <v>99</v>
      </c>
      <c r="L21" s="559">
        <f>'06'!L54</f>
        <v>704</v>
      </c>
      <c r="M21" s="559">
        <f>'06'!M54</f>
        <v>0</v>
      </c>
      <c r="N21" s="559">
        <f>'06'!N54</f>
        <v>0</v>
      </c>
      <c r="O21" s="559">
        <f>'06'!O54</f>
        <v>0</v>
      </c>
      <c r="P21" s="559">
        <f>'06'!P54</f>
        <v>0</v>
      </c>
      <c r="Q21" s="559">
        <f>'06'!Q54</f>
        <v>554</v>
      </c>
      <c r="R21" s="559">
        <f>'06'!R54</f>
        <v>1258</v>
      </c>
      <c r="S21" s="560">
        <f t="shared" si="1"/>
        <v>68.38796587337225</v>
      </c>
      <c r="T21" s="561">
        <f t="shared" si="2"/>
        <v>1523</v>
      </c>
      <c r="U21" s="429"/>
      <c r="V21" s="428"/>
      <c r="W21" s="429"/>
    </row>
    <row r="22" spans="1:23" ht="15.75">
      <c r="A22" s="484" t="s">
        <v>61</v>
      </c>
      <c r="B22" s="393" t="s">
        <v>439</v>
      </c>
      <c r="C22" s="559">
        <f>'06'!C61</f>
        <v>2677</v>
      </c>
      <c r="D22" s="559">
        <f>'06'!D61</f>
        <v>974</v>
      </c>
      <c r="E22" s="559">
        <f>'06'!E61</f>
        <v>1703</v>
      </c>
      <c r="F22" s="559">
        <f>'06'!F61</f>
        <v>4</v>
      </c>
      <c r="G22" s="559">
        <f>'06'!G61</f>
        <v>0</v>
      </c>
      <c r="H22" s="559">
        <f>'06'!H61</f>
        <v>2673</v>
      </c>
      <c r="I22" s="559">
        <f>'06'!I61</f>
        <v>2074</v>
      </c>
      <c r="J22" s="559">
        <f>'06'!J61</f>
        <v>1398</v>
      </c>
      <c r="K22" s="559">
        <f>'06'!K61</f>
        <v>69</v>
      </c>
      <c r="L22" s="559">
        <f>'06'!L61</f>
        <v>605</v>
      </c>
      <c r="M22" s="559">
        <f>'06'!M61</f>
        <v>1</v>
      </c>
      <c r="N22" s="559">
        <f>'06'!N61</f>
        <v>0</v>
      </c>
      <c r="O22" s="559">
        <f>'06'!O61</f>
        <v>0</v>
      </c>
      <c r="P22" s="559">
        <f>'06'!P61</f>
        <v>1</v>
      </c>
      <c r="Q22" s="559">
        <f>'06'!Q61</f>
        <v>599</v>
      </c>
      <c r="R22" s="559">
        <f>'06'!R61</f>
        <v>1206</v>
      </c>
      <c r="S22" s="560">
        <f t="shared" si="1"/>
        <v>70.73288331726133</v>
      </c>
      <c r="T22" s="561">
        <f t="shared" si="2"/>
        <v>1467</v>
      </c>
      <c r="U22" s="429"/>
      <c r="V22" s="428"/>
      <c r="W22" s="429"/>
    </row>
    <row r="23" spans="1:23" ht="15.75">
      <c r="A23" s="484" t="s">
        <v>62</v>
      </c>
      <c r="B23" s="393" t="s">
        <v>438</v>
      </c>
      <c r="C23" s="559">
        <f>'06'!C68</f>
        <v>3081</v>
      </c>
      <c r="D23" s="559">
        <f>'06'!D68</f>
        <v>1261</v>
      </c>
      <c r="E23" s="559">
        <f>'06'!E68</f>
        <v>1820</v>
      </c>
      <c r="F23" s="559">
        <f>'06'!F68</f>
        <v>7</v>
      </c>
      <c r="G23" s="559">
        <f>'06'!G68</f>
        <v>0</v>
      </c>
      <c r="H23" s="559">
        <f>'06'!H68</f>
        <v>3074</v>
      </c>
      <c r="I23" s="559">
        <f>'06'!I68</f>
        <v>2384</v>
      </c>
      <c r="J23" s="559">
        <f>'06'!J68</f>
        <v>1313</v>
      </c>
      <c r="K23" s="559">
        <f>'06'!K68</f>
        <v>93</v>
      </c>
      <c r="L23" s="559">
        <f>'06'!L68</f>
        <v>977</v>
      </c>
      <c r="M23" s="559">
        <f>'06'!M68</f>
        <v>0</v>
      </c>
      <c r="N23" s="559">
        <f>'06'!N68</f>
        <v>1</v>
      </c>
      <c r="O23" s="559">
        <f>'06'!O68</f>
        <v>0</v>
      </c>
      <c r="P23" s="559">
        <f>'06'!P68</f>
        <v>0</v>
      </c>
      <c r="Q23" s="559">
        <f>'06'!Q68</f>
        <v>690</v>
      </c>
      <c r="R23" s="559">
        <f>'06'!R68</f>
        <v>1668</v>
      </c>
      <c r="S23" s="560">
        <f t="shared" si="1"/>
        <v>58.9765100671141</v>
      </c>
      <c r="T23" s="561">
        <f t="shared" si="2"/>
        <v>1406</v>
      </c>
      <c r="U23" s="429"/>
      <c r="V23" s="428"/>
      <c r="W23" s="429"/>
    </row>
    <row r="24" spans="1:23" ht="15.75">
      <c r="A24" s="484" t="s">
        <v>63</v>
      </c>
      <c r="B24" s="393" t="s">
        <v>437</v>
      </c>
      <c r="C24" s="559">
        <f>'06'!C74</f>
        <v>1391</v>
      </c>
      <c r="D24" s="559">
        <f>'06'!D74</f>
        <v>598</v>
      </c>
      <c r="E24" s="559">
        <f>'06'!E74</f>
        <v>793</v>
      </c>
      <c r="F24" s="559">
        <f>'06'!F74</f>
        <v>10</v>
      </c>
      <c r="G24" s="559">
        <f>'06'!G74</f>
        <v>4</v>
      </c>
      <c r="H24" s="559">
        <f>'06'!H74</f>
        <v>1381</v>
      </c>
      <c r="I24" s="559">
        <f>'06'!I74</f>
        <v>1054</v>
      </c>
      <c r="J24" s="559">
        <f>'06'!J74</f>
        <v>697</v>
      </c>
      <c r="K24" s="559">
        <f>'06'!K74</f>
        <v>27</v>
      </c>
      <c r="L24" s="559">
        <f>'06'!L74</f>
        <v>328</v>
      </c>
      <c r="M24" s="559">
        <f>'06'!M74</f>
        <v>2</v>
      </c>
      <c r="N24" s="559">
        <f>'06'!N74</f>
        <v>0</v>
      </c>
      <c r="O24" s="559">
        <f>'06'!O74</f>
        <v>0</v>
      </c>
      <c r="P24" s="559">
        <f>'06'!P74</f>
        <v>0</v>
      </c>
      <c r="Q24" s="559">
        <f>'06'!Q74</f>
        <v>327</v>
      </c>
      <c r="R24" s="559">
        <f>'06'!R74</f>
        <v>657</v>
      </c>
      <c r="S24" s="560">
        <f t="shared" si="1"/>
        <v>68.69070208728652</v>
      </c>
      <c r="T24" s="561">
        <f t="shared" si="2"/>
        <v>724</v>
      </c>
      <c r="U24" s="429"/>
      <c r="V24" s="428"/>
      <c r="W24" s="429"/>
    </row>
    <row r="25" spans="1:20" ht="16.5">
      <c r="A25" s="427"/>
      <c r="B25" s="427"/>
      <c r="C25" s="427"/>
      <c r="D25" s="427"/>
      <c r="E25" s="427"/>
      <c r="F25" s="426"/>
      <c r="G25" s="426"/>
      <c r="H25" s="426"/>
      <c r="I25" s="426"/>
      <c r="J25" s="426"/>
      <c r="K25" s="426"/>
      <c r="L25" s="426"/>
      <c r="M25" s="928" t="str">
        <f>'Thong tin'!B8</f>
        <v>Trà Vinh, ngày 03 tháng 9  năm 2019</v>
      </c>
      <c r="N25" s="928"/>
      <c r="O25" s="928"/>
      <c r="P25" s="928"/>
      <c r="Q25" s="928"/>
      <c r="R25" s="928"/>
      <c r="S25" s="928"/>
      <c r="T25" s="456"/>
    </row>
    <row r="26" spans="1:20" ht="16.5">
      <c r="A26" s="425"/>
      <c r="B26" s="919"/>
      <c r="C26" s="919"/>
      <c r="D26" s="919"/>
      <c r="E26" s="919"/>
      <c r="F26" s="424"/>
      <c r="G26" s="424"/>
      <c r="H26" s="424"/>
      <c r="I26" s="424"/>
      <c r="J26" s="424"/>
      <c r="K26" s="424"/>
      <c r="L26" s="424"/>
      <c r="M26" s="424"/>
      <c r="N26" s="920" t="str">
        <f>'Thong tin'!B7</f>
        <v>PHÓ CỤC TRƯỞNG</v>
      </c>
      <c r="O26" s="920"/>
      <c r="P26" s="920"/>
      <c r="Q26" s="920"/>
      <c r="R26" s="920"/>
      <c r="S26" s="920"/>
      <c r="T26" s="457"/>
    </row>
    <row r="27" spans="1:20" ht="16.5">
      <c r="A27" s="394"/>
      <c r="B27" s="919" t="s">
        <v>4</v>
      </c>
      <c r="C27" s="919"/>
      <c r="D27" s="919"/>
      <c r="E27" s="919"/>
      <c r="F27" s="395"/>
      <c r="G27" s="395"/>
      <c r="H27" s="395"/>
      <c r="I27" s="395"/>
      <c r="J27" s="395"/>
      <c r="K27" s="395"/>
      <c r="L27" s="395"/>
      <c r="M27" s="395"/>
      <c r="N27" s="921"/>
      <c r="O27" s="921"/>
      <c r="P27" s="921"/>
      <c r="Q27" s="921"/>
      <c r="R27" s="921"/>
      <c r="S27" s="921"/>
      <c r="T27" s="458"/>
    </row>
    <row r="28" spans="1:20" ht="15.75">
      <c r="A28" s="394"/>
      <c r="B28" s="394"/>
      <c r="C28" s="394"/>
      <c r="D28" s="395"/>
      <c r="E28" s="395"/>
      <c r="F28" s="395"/>
      <c r="G28" s="395"/>
      <c r="H28" s="395"/>
      <c r="I28" s="395"/>
      <c r="J28" s="395"/>
      <c r="K28" s="395"/>
      <c r="L28" s="395"/>
      <c r="M28" s="395"/>
      <c r="N28" s="395"/>
      <c r="O28" s="395"/>
      <c r="P28" s="395"/>
      <c r="Q28" s="395"/>
      <c r="R28" s="394"/>
      <c r="S28" s="394"/>
      <c r="T28" s="394"/>
    </row>
    <row r="29" spans="1:20" ht="15.75">
      <c r="A29" s="394"/>
      <c r="B29" s="394"/>
      <c r="C29" s="394"/>
      <c r="D29" s="395"/>
      <c r="E29" s="395"/>
      <c r="F29" s="395"/>
      <c r="G29" s="395"/>
      <c r="H29" s="395"/>
      <c r="I29" s="395"/>
      <c r="J29" s="395"/>
      <c r="K29" s="395"/>
      <c r="L29" s="395"/>
      <c r="M29" s="395"/>
      <c r="N29" s="395"/>
      <c r="O29" s="395"/>
      <c r="P29" s="395"/>
      <c r="Q29" s="395"/>
      <c r="R29" s="394"/>
      <c r="S29" s="394"/>
      <c r="T29" s="394"/>
    </row>
    <row r="30" spans="1:20" ht="15.75">
      <c r="A30" s="423"/>
      <c r="B30" s="394"/>
      <c r="C30" s="394"/>
      <c r="D30" s="395"/>
      <c r="E30" s="395"/>
      <c r="F30" s="395"/>
      <c r="G30" s="395"/>
      <c r="H30" s="395"/>
      <c r="I30" s="395"/>
      <c r="J30" s="395"/>
      <c r="K30" s="395"/>
      <c r="L30" s="395"/>
      <c r="M30" s="395"/>
      <c r="N30" s="395"/>
      <c r="O30" s="395"/>
      <c r="P30" s="395"/>
      <c r="Q30" s="395"/>
      <c r="R30" s="394"/>
      <c r="S30" s="394"/>
      <c r="T30" s="394"/>
    </row>
    <row r="31" spans="1:20" ht="15.75">
      <c r="A31" s="394"/>
      <c r="B31" s="912"/>
      <c r="C31" s="912"/>
      <c r="D31" s="912"/>
      <c r="E31" s="912"/>
      <c r="F31" s="912"/>
      <c r="G31" s="912"/>
      <c r="H31" s="912"/>
      <c r="I31" s="912"/>
      <c r="J31" s="912"/>
      <c r="K31" s="912"/>
      <c r="L31" s="912"/>
      <c r="M31" s="912"/>
      <c r="N31" s="912"/>
      <c r="O31" s="912"/>
      <c r="P31" s="395"/>
      <c r="Q31" s="395"/>
      <c r="R31" s="394"/>
      <c r="S31" s="394"/>
      <c r="T31" s="394"/>
    </row>
    <row r="32" spans="1:20" ht="15.75">
      <c r="A32" s="394"/>
      <c r="B32" s="422"/>
      <c r="C32" s="422"/>
      <c r="D32" s="422"/>
      <c r="E32" s="422"/>
      <c r="F32" s="422"/>
      <c r="G32" s="422"/>
      <c r="H32" s="422"/>
      <c r="I32" s="422"/>
      <c r="J32" s="422"/>
      <c r="K32" s="422"/>
      <c r="L32" s="422"/>
      <c r="M32" s="422"/>
      <c r="N32" s="422"/>
      <c r="O32" s="422"/>
      <c r="P32" s="395"/>
      <c r="Q32" s="395"/>
      <c r="R32" s="394"/>
      <c r="S32" s="394"/>
      <c r="T32" s="394"/>
    </row>
    <row r="33" spans="1:20" ht="15.75">
      <c r="A33" s="394"/>
      <c r="B33" s="916"/>
      <c r="C33" s="916"/>
      <c r="D33" s="916"/>
      <c r="E33" s="916"/>
      <c r="F33" s="422"/>
      <c r="G33" s="422"/>
      <c r="H33" s="422"/>
      <c r="I33" s="422"/>
      <c r="J33" s="422"/>
      <c r="K33" s="422"/>
      <c r="L33" s="422"/>
      <c r="M33" s="422"/>
      <c r="N33" s="422"/>
      <c r="O33" s="915"/>
      <c r="P33" s="915"/>
      <c r="Q33" s="915"/>
      <c r="R33" s="915"/>
      <c r="S33" s="394"/>
      <c r="T33" s="394"/>
    </row>
    <row r="34" spans="1:20" ht="15.75">
      <c r="A34" s="421"/>
      <c r="B34" s="913" t="str">
        <f>'Thong tin'!B5</f>
        <v>Nhan Quốc Hải</v>
      </c>
      <c r="C34" s="913"/>
      <c r="D34" s="913"/>
      <c r="E34" s="913"/>
      <c r="F34" s="421"/>
      <c r="G34" s="421"/>
      <c r="H34" s="421"/>
      <c r="I34" s="421"/>
      <c r="J34" s="421"/>
      <c r="K34" s="421"/>
      <c r="L34" s="421"/>
      <c r="M34" s="421"/>
      <c r="N34" s="421"/>
      <c r="O34" s="914" t="str">
        <f>'Thong tin'!B6</f>
        <v>Nguyễn Minh Khiêm</v>
      </c>
      <c r="P34" s="914"/>
      <c r="Q34" s="914"/>
      <c r="R34" s="914"/>
      <c r="S34" s="394"/>
      <c r="T34" s="394"/>
    </row>
  </sheetData>
  <sheetProtection/>
  <mergeCells count="48">
    <mergeCell ref="P5:S5"/>
    <mergeCell ref="E2:O2"/>
    <mergeCell ref="P2:S2"/>
    <mergeCell ref="A3:D3"/>
    <mergeCell ref="E3:O3"/>
    <mergeCell ref="P3:S3"/>
    <mergeCell ref="A4:D4"/>
    <mergeCell ref="E4:O4"/>
    <mergeCell ref="P4:S4"/>
    <mergeCell ref="P6:S6"/>
    <mergeCell ref="A7:B11"/>
    <mergeCell ref="C7:E7"/>
    <mergeCell ref="F7:F11"/>
    <mergeCell ref="G7:G11"/>
    <mergeCell ref="H7:Q7"/>
    <mergeCell ref="R7:R11"/>
    <mergeCell ref="C8:C11"/>
    <mergeCell ref="J10:J11"/>
    <mergeCell ref="K10:K11"/>
    <mergeCell ref="M25:S25"/>
    <mergeCell ref="D8:E9"/>
    <mergeCell ref="H8:H11"/>
    <mergeCell ref="I8:P8"/>
    <mergeCell ref="Q8:Q11"/>
    <mergeCell ref="I9:I11"/>
    <mergeCell ref="J9:P9"/>
    <mergeCell ref="D10:D11"/>
    <mergeCell ref="E10:E11"/>
    <mergeCell ref="N26:S26"/>
    <mergeCell ref="B27:E27"/>
    <mergeCell ref="N27:S27"/>
    <mergeCell ref="L10:L11"/>
    <mergeCell ref="M10:M11"/>
    <mergeCell ref="N10:N11"/>
    <mergeCell ref="O10:O11"/>
    <mergeCell ref="P10:P11"/>
    <mergeCell ref="S7:S11"/>
    <mergeCell ref="A12:B12"/>
    <mergeCell ref="T7:T11"/>
    <mergeCell ref="V7:V11"/>
    <mergeCell ref="B31:O31"/>
    <mergeCell ref="B34:E34"/>
    <mergeCell ref="O34:R34"/>
    <mergeCell ref="O33:R33"/>
    <mergeCell ref="B33:E33"/>
    <mergeCell ref="U7:U11"/>
    <mergeCell ref="A13:B13"/>
    <mergeCell ref="B26:E26"/>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W33"/>
  <sheetViews>
    <sheetView view="pageBreakPreview" zoomScale="140" zoomScaleNormal="80" zoomScaleSheetLayoutView="140" zoomScalePageLayoutView="0" workbookViewId="0" topLeftCell="A7">
      <pane xSplit="4" ySplit="5" topLeftCell="H12" activePane="bottomRight" state="frozen"/>
      <selection pane="topLeft" activeCell="A7" sqref="A7"/>
      <selection pane="topRight" activeCell="E7" sqref="E7"/>
      <selection pane="bottomLeft" activeCell="A12" sqref="A12"/>
      <selection pane="bottomRight" activeCell="T18" sqref="T18"/>
    </sheetView>
  </sheetViews>
  <sheetFormatPr defaultColWidth="9.00390625" defaultRowHeight="15.75"/>
  <cols>
    <col min="1" max="1" width="3.125" style="0" customWidth="1"/>
    <col min="2" max="2" width="10.00390625" style="0" customWidth="1"/>
    <col min="3" max="3" width="6.875" style="0" customWidth="1"/>
    <col min="4" max="4" width="7.50390625" style="0" customWidth="1"/>
    <col min="5" max="5" width="6.875" style="0" customWidth="1"/>
    <col min="6" max="6" width="6.25390625" style="0" customWidth="1"/>
    <col min="7" max="7" width="6.00390625" style="0" customWidth="1"/>
    <col min="8" max="9" width="6.625" style="0" customWidth="1"/>
    <col min="10" max="10" width="6.875" style="0" customWidth="1"/>
    <col min="11" max="11" width="6.25390625" style="0" customWidth="1"/>
    <col min="12" max="12" width="5.00390625" style="0" customWidth="1"/>
    <col min="13" max="13" width="7.125" style="0" customWidth="1"/>
    <col min="14" max="14" width="6.125" style="0" customWidth="1"/>
    <col min="15" max="15" width="4.50390625" style="0" customWidth="1"/>
    <col min="16" max="16" width="3.50390625" style="0" customWidth="1"/>
    <col min="17" max="17" width="4.625" style="0" customWidth="1"/>
    <col min="18" max="18" width="6.75390625" style="0" customWidth="1"/>
    <col min="19" max="19" width="6.00390625" style="0" customWidth="1"/>
    <col min="20" max="20" width="4.375" style="0" customWidth="1"/>
    <col min="21" max="21" width="5.25390625" style="0" customWidth="1"/>
  </cols>
  <sheetData>
    <row r="1" spans="1:22" ht="16.5">
      <c r="A1" s="395" t="s">
        <v>527</v>
      </c>
      <c r="B1" s="395"/>
      <c r="C1" s="395"/>
      <c r="D1" s="394"/>
      <c r="E1" s="957" t="s">
        <v>526</v>
      </c>
      <c r="F1" s="957"/>
      <c r="G1" s="957"/>
      <c r="H1" s="957"/>
      <c r="I1" s="957"/>
      <c r="J1" s="957"/>
      <c r="K1" s="957"/>
      <c r="L1" s="957"/>
      <c r="M1" s="957"/>
      <c r="N1" s="957"/>
      <c r="O1" s="957"/>
      <c r="P1" s="957"/>
      <c r="Q1" s="987" t="s">
        <v>429</v>
      </c>
      <c r="R1" s="987"/>
      <c r="S1" s="987"/>
      <c r="T1" s="987"/>
      <c r="U1" s="463"/>
      <c r="V1" s="394"/>
    </row>
    <row r="2" spans="1:22" ht="16.5">
      <c r="A2" s="959" t="s">
        <v>245</v>
      </c>
      <c r="B2" s="959"/>
      <c r="C2" s="959"/>
      <c r="D2" s="959"/>
      <c r="E2" s="960" t="s">
        <v>34</v>
      </c>
      <c r="F2" s="960"/>
      <c r="G2" s="960"/>
      <c r="H2" s="960"/>
      <c r="I2" s="960"/>
      <c r="J2" s="960"/>
      <c r="K2" s="960"/>
      <c r="L2" s="960"/>
      <c r="M2" s="960"/>
      <c r="N2" s="960"/>
      <c r="O2" s="960"/>
      <c r="P2" s="960"/>
      <c r="Q2" s="990" t="s">
        <v>523</v>
      </c>
      <c r="R2" s="990"/>
      <c r="S2" s="990"/>
      <c r="T2" s="990"/>
      <c r="U2" s="462"/>
      <c r="V2" s="394"/>
    </row>
    <row r="3" spans="1:22" ht="16.5">
      <c r="A3" s="959" t="s">
        <v>246</v>
      </c>
      <c r="B3" s="959"/>
      <c r="C3" s="959"/>
      <c r="D3" s="959"/>
      <c r="E3" s="961" t="str">
        <f>'Thong tin'!B3</f>
        <v>11 tháng / năm 2019</v>
      </c>
      <c r="F3" s="992"/>
      <c r="G3" s="992"/>
      <c r="H3" s="992"/>
      <c r="I3" s="992"/>
      <c r="J3" s="992"/>
      <c r="K3" s="992"/>
      <c r="L3" s="992"/>
      <c r="M3" s="992"/>
      <c r="N3" s="992"/>
      <c r="O3" s="992"/>
      <c r="P3" s="992"/>
      <c r="Q3" s="987" t="s">
        <v>447</v>
      </c>
      <c r="R3" s="987"/>
      <c r="S3" s="987"/>
      <c r="T3" s="987"/>
      <c r="U3" s="463"/>
      <c r="V3" s="394"/>
    </row>
    <row r="4" spans="1:22" ht="15.75">
      <c r="A4" s="395" t="s">
        <v>522</v>
      </c>
      <c r="B4" s="395"/>
      <c r="C4" s="395"/>
      <c r="D4" s="395"/>
      <c r="E4" s="395"/>
      <c r="F4" s="395"/>
      <c r="G4" s="395"/>
      <c r="H4" s="395"/>
      <c r="I4" s="395"/>
      <c r="J4" s="395"/>
      <c r="K4" s="395"/>
      <c r="L4" s="395"/>
      <c r="M4" s="395"/>
      <c r="N4" s="395"/>
      <c r="O4" s="433"/>
      <c r="P4" s="433"/>
      <c r="Q4" s="990" t="s">
        <v>521</v>
      </c>
      <c r="R4" s="990"/>
      <c r="S4" s="990"/>
      <c r="T4" s="990"/>
      <c r="U4" s="462"/>
      <c r="V4" s="394"/>
    </row>
    <row r="5" spans="1:22" ht="15.75">
      <c r="A5" s="394"/>
      <c r="B5" s="432"/>
      <c r="C5" s="432"/>
      <c r="D5" s="394"/>
      <c r="E5" s="394"/>
      <c r="F5" s="394"/>
      <c r="G5" s="394"/>
      <c r="H5" s="394"/>
      <c r="I5" s="394"/>
      <c r="J5" s="394"/>
      <c r="K5" s="394"/>
      <c r="L5" s="394"/>
      <c r="M5" s="394"/>
      <c r="N5" s="394"/>
      <c r="O5" s="394"/>
      <c r="P5" s="394"/>
      <c r="Q5" s="991" t="s">
        <v>430</v>
      </c>
      <c r="R5" s="991"/>
      <c r="S5" s="991"/>
      <c r="T5" s="991"/>
      <c r="U5" s="485"/>
      <c r="V5" s="394"/>
    </row>
    <row r="6" spans="1:22" ht="15.75" customHeight="1">
      <c r="A6" s="972" t="s">
        <v>57</v>
      </c>
      <c r="B6" s="972"/>
      <c r="C6" s="977" t="s">
        <v>126</v>
      </c>
      <c r="D6" s="978"/>
      <c r="E6" s="979"/>
      <c r="F6" s="966" t="s">
        <v>101</v>
      </c>
      <c r="G6" s="973" t="s">
        <v>127</v>
      </c>
      <c r="H6" s="984" t="s">
        <v>102</v>
      </c>
      <c r="I6" s="985"/>
      <c r="J6" s="985"/>
      <c r="K6" s="985"/>
      <c r="L6" s="985"/>
      <c r="M6" s="985"/>
      <c r="N6" s="985"/>
      <c r="O6" s="985"/>
      <c r="P6" s="985"/>
      <c r="Q6" s="985"/>
      <c r="R6" s="986"/>
      <c r="S6" s="980" t="s">
        <v>250</v>
      </c>
      <c r="T6" s="970" t="s">
        <v>525</v>
      </c>
      <c r="U6" s="970" t="s">
        <v>519</v>
      </c>
      <c r="V6" s="394"/>
    </row>
    <row r="7" spans="1:22" ht="15.75">
      <c r="A7" s="972"/>
      <c r="B7" s="972"/>
      <c r="C7" s="980" t="s">
        <v>42</v>
      </c>
      <c r="D7" s="981" t="s">
        <v>7</v>
      </c>
      <c r="E7" s="993"/>
      <c r="F7" s="967"/>
      <c r="G7" s="975"/>
      <c r="H7" s="973" t="s">
        <v>31</v>
      </c>
      <c r="I7" s="981" t="s">
        <v>103</v>
      </c>
      <c r="J7" s="982"/>
      <c r="K7" s="982"/>
      <c r="L7" s="982"/>
      <c r="M7" s="982"/>
      <c r="N7" s="982"/>
      <c r="O7" s="982"/>
      <c r="P7" s="982"/>
      <c r="Q7" s="983"/>
      <c r="R7" s="993" t="s">
        <v>128</v>
      </c>
      <c r="S7" s="975"/>
      <c r="T7" s="970"/>
      <c r="U7" s="971"/>
      <c r="V7" s="394"/>
    </row>
    <row r="8" spans="1:22" ht="15.75">
      <c r="A8" s="972"/>
      <c r="B8" s="972"/>
      <c r="C8" s="975"/>
      <c r="D8" s="968"/>
      <c r="E8" s="995"/>
      <c r="F8" s="967"/>
      <c r="G8" s="975"/>
      <c r="H8" s="975"/>
      <c r="I8" s="973" t="s">
        <v>31</v>
      </c>
      <c r="J8" s="988" t="s">
        <v>7</v>
      </c>
      <c r="K8" s="989"/>
      <c r="L8" s="989"/>
      <c r="M8" s="989"/>
      <c r="N8" s="989"/>
      <c r="O8" s="989"/>
      <c r="P8" s="989"/>
      <c r="Q8" s="965"/>
      <c r="R8" s="994"/>
      <c r="S8" s="975"/>
      <c r="T8" s="970"/>
      <c r="U8" s="971"/>
      <c r="V8" s="394"/>
    </row>
    <row r="9" spans="1:22" ht="15.75">
      <c r="A9" s="972"/>
      <c r="B9" s="972"/>
      <c r="C9" s="975"/>
      <c r="D9" s="980" t="s">
        <v>129</v>
      </c>
      <c r="E9" s="980" t="s">
        <v>130</v>
      </c>
      <c r="F9" s="967"/>
      <c r="G9" s="975"/>
      <c r="H9" s="975"/>
      <c r="I9" s="975"/>
      <c r="J9" s="965" t="s">
        <v>131</v>
      </c>
      <c r="K9" s="970" t="s">
        <v>132</v>
      </c>
      <c r="L9" s="970" t="s">
        <v>124</v>
      </c>
      <c r="M9" s="971" t="s">
        <v>105</v>
      </c>
      <c r="N9" s="973" t="s">
        <v>133</v>
      </c>
      <c r="O9" s="973" t="s">
        <v>108</v>
      </c>
      <c r="P9" s="973" t="s">
        <v>251</v>
      </c>
      <c r="Q9" s="973" t="s">
        <v>111</v>
      </c>
      <c r="R9" s="994"/>
      <c r="S9" s="975"/>
      <c r="T9" s="970"/>
      <c r="U9" s="971"/>
      <c r="V9" s="512"/>
    </row>
    <row r="10" spans="1:22" ht="15.75">
      <c r="A10" s="972"/>
      <c r="B10" s="972"/>
      <c r="C10" s="974"/>
      <c r="D10" s="974"/>
      <c r="E10" s="974"/>
      <c r="F10" s="968"/>
      <c r="G10" s="974"/>
      <c r="H10" s="974"/>
      <c r="I10" s="974"/>
      <c r="J10" s="965"/>
      <c r="K10" s="970"/>
      <c r="L10" s="970"/>
      <c r="M10" s="971"/>
      <c r="N10" s="974"/>
      <c r="O10" s="974" t="s">
        <v>108</v>
      </c>
      <c r="P10" s="974" t="s">
        <v>251</v>
      </c>
      <c r="Q10" s="974" t="s">
        <v>111</v>
      </c>
      <c r="R10" s="995"/>
      <c r="S10" s="974"/>
      <c r="T10" s="970"/>
      <c r="U10" s="971"/>
      <c r="V10" s="394"/>
    </row>
    <row r="11" spans="1:22" ht="15.75">
      <c r="A11" s="976" t="s">
        <v>6</v>
      </c>
      <c r="B11" s="976"/>
      <c r="C11" s="488" t="s">
        <v>43</v>
      </c>
      <c r="D11" s="488" t="s">
        <v>44</v>
      </c>
      <c r="E11" s="488" t="s">
        <v>49</v>
      </c>
      <c r="F11" s="488" t="s">
        <v>58</v>
      </c>
      <c r="G11" s="488" t="s">
        <v>59</v>
      </c>
      <c r="H11" s="488" t="s">
        <v>60</v>
      </c>
      <c r="I11" s="488" t="s">
        <v>61</v>
      </c>
      <c r="J11" s="488" t="s">
        <v>62</v>
      </c>
      <c r="K11" s="488" t="s">
        <v>63</v>
      </c>
      <c r="L11" s="488" t="s">
        <v>83</v>
      </c>
      <c r="M11" s="488" t="s">
        <v>84</v>
      </c>
      <c r="N11" s="488" t="s">
        <v>85</v>
      </c>
      <c r="O11" s="488" t="s">
        <v>86</v>
      </c>
      <c r="P11" s="488" t="s">
        <v>87</v>
      </c>
      <c r="Q11" s="488" t="s">
        <v>253</v>
      </c>
      <c r="R11" s="488" t="s">
        <v>518</v>
      </c>
      <c r="S11" s="488" t="s">
        <v>517</v>
      </c>
      <c r="T11" s="488" t="s">
        <v>516</v>
      </c>
      <c r="U11" s="488" t="s">
        <v>531</v>
      </c>
      <c r="V11" s="394"/>
    </row>
    <row r="12" spans="1:22" ht="15.75">
      <c r="A12" s="964" t="s">
        <v>30</v>
      </c>
      <c r="B12" s="964"/>
      <c r="C12" s="487">
        <f>D12+E12</f>
        <v>979537054</v>
      </c>
      <c r="D12" s="487">
        <f aca="true" t="shared" si="0" ref="D12:L12">D13+D14</f>
        <v>636078611</v>
      </c>
      <c r="E12" s="487">
        <f t="shared" si="0"/>
        <v>343458443</v>
      </c>
      <c r="F12" s="487">
        <f t="shared" si="0"/>
        <v>58151877</v>
      </c>
      <c r="G12" s="487">
        <f t="shared" si="0"/>
        <v>10066000</v>
      </c>
      <c r="H12" s="487">
        <f t="shared" si="0"/>
        <v>921385177</v>
      </c>
      <c r="I12" s="487">
        <f t="shared" si="0"/>
        <v>563418970</v>
      </c>
      <c r="J12" s="487">
        <f t="shared" si="0"/>
        <v>153087461</v>
      </c>
      <c r="K12" s="487">
        <f t="shared" si="0"/>
        <v>45758627</v>
      </c>
      <c r="L12" s="487">
        <f t="shared" si="0"/>
        <v>32442</v>
      </c>
      <c r="M12" s="487">
        <f aca="true" t="shared" si="1" ref="M12:S12">M13+M14</f>
        <v>361183355</v>
      </c>
      <c r="N12" s="487">
        <f t="shared" si="1"/>
        <v>2649024</v>
      </c>
      <c r="O12" s="487">
        <f t="shared" si="1"/>
        <v>56600</v>
      </c>
      <c r="P12" s="487">
        <f t="shared" si="1"/>
        <v>0</v>
      </c>
      <c r="Q12" s="487">
        <f t="shared" si="1"/>
        <v>651461</v>
      </c>
      <c r="R12" s="487">
        <f t="shared" si="1"/>
        <v>357966207</v>
      </c>
      <c r="S12" s="487">
        <f t="shared" si="1"/>
        <v>722506647</v>
      </c>
      <c r="T12" s="486">
        <f aca="true" t="shared" si="2" ref="T12:T23">(((J12+K12+L12))/I12)*100</f>
        <v>35.298515064198135</v>
      </c>
      <c r="U12" s="524">
        <f>+J12+K12+L12</f>
        <v>198878530</v>
      </c>
      <c r="V12" s="547">
        <f aca="true" t="shared" si="3" ref="V12:V23">C12-(F12+G12+H12)</f>
        <v>-10066000</v>
      </c>
    </row>
    <row r="13" spans="1:23" ht="15.75">
      <c r="A13" s="489" t="s">
        <v>0</v>
      </c>
      <c r="B13" s="490" t="s">
        <v>446</v>
      </c>
      <c r="C13" s="487">
        <f>'07'!C12</f>
        <v>137482658</v>
      </c>
      <c r="D13" s="487">
        <f>'07'!D12</f>
        <v>84778571</v>
      </c>
      <c r="E13" s="487">
        <f>'07'!E12</f>
        <v>52704087</v>
      </c>
      <c r="F13" s="487">
        <f>'07'!F12</f>
        <v>4800</v>
      </c>
      <c r="G13" s="487">
        <f>'07'!G12</f>
        <v>5033000</v>
      </c>
      <c r="H13" s="487">
        <f>'07'!H12</f>
        <v>137477858</v>
      </c>
      <c r="I13" s="487">
        <f>'07'!I12</f>
        <v>90124160</v>
      </c>
      <c r="J13" s="487">
        <f>'07'!J12</f>
        <v>35307556</v>
      </c>
      <c r="K13" s="487">
        <f>'07'!K12</f>
        <v>733896</v>
      </c>
      <c r="L13" s="487">
        <f>'07'!L12</f>
        <v>0</v>
      </c>
      <c r="M13" s="487">
        <f>'07'!M12</f>
        <v>53237387</v>
      </c>
      <c r="N13" s="487">
        <f>'07'!N12</f>
        <v>633931</v>
      </c>
      <c r="O13" s="487">
        <f>'07'!O12</f>
        <v>23750</v>
      </c>
      <c r="P13" s="487">
        <f>'07'!P12</f>
        <v>0</v>
      </c>
      <c r="Q13" s="487">
        <f>'07'!Q12</f>
        <v>187640</v>
      </c>
      <c r="R13" s="487">
        <f>'07'!R12</f>
        <v>47353698</v>
      </c>
      <c r="S13" s="487">
        <f>'07'!S12</f>
        <v>101436406</v>
      </c>
      <c r="T13" s="486">
        <f t="shared" si="2"/>
        <v>39.990888125892106</v>
      </c>
      <c r="U13" s="524">
        <f aca="true" t="shared" si="4" ref="U13:U23">+J13+K13+L13</f>
        <v>36041452</v>
      </c>
      <c r="V13" s="547">
        <f t="shared" si="3"/>
        <v>-5033000</v>
      </c>
      <c r="W13" s="548"/>
    </row>
    <row r="14" spans="1:23" ht="15.75">
      <c r="A14" s="489" t="s">
        <v>1</v>
      </c>
      <c r="B14" s="490" t="s">
        <v>17</v>
      </c>
      <c r="C14" s="487">
        <f>SUM(C15:C23)</f>
        <v>842054396</v>
      </c>
      <c r="D14" s="487">
        <f>SUM(D15:D23)</f>
        <v>551300040</v>
      </c>
      <c r="E14" s="487">
        <f>SUM(E15:E23)</f>
        <v>290754356</v>
      </c>
      <c r="F14" s="487">
        <f>SUM(F15:F23)</f>
        <v>58147077</v>
      </c>
      <c r="G14" s="487">
        <f>SUM(G15:G23)</f>
        <v>5033000</v>
      </c>
      <c r="H14" s="487">
        <f>I14+R14</f>
        <v>783907319</v>
      </c>
      <c r="I14" s="487">
        <f>SUM(J14:Q14)</f>
        <v>473294810</v>
      </c>
      <c r="J14" s="487">
        <f aca="true" t="shared" si="5" ref="J14:R14">SUM(J15:J23)</f>
        <v>117779905</v>
      </c>
      <c r="K14" s="487">
        <f t="shared" si="5"/>
        <v>45024731</v>
      </c>
      <c r="L14" s="487">
        <f t="shared" si="5"/>
        <v>32442</v>
      </c>
      <c r="M14" s="487">
        <f t="shared" si="5"/>
        <v>307945968</v>
      </c>
      <c r="N14" s="487">
        <f t="shared" si="5"/>
        <v>2015093</v>
      </c>
      <c r="O14" s="487">
        <f t="shared" si="5"/>
        <v>32850</v>
      </c>
      <c r="P14" s="487">
        <f t="shared" si="5"/>
        <v>0</v>
      </c>
      <c r="Q14" s="487">
        <f t="shared" si="5"/>
        <v>463821</v>
      </c>
      <c r="R14" s="487">
        <f t="shared" si="5"/>
        <v>310612509</v>
      </c>
      <c r="S14" s="487">
        <f>SUM(M14:R14)</f>
        <v>621070241</v>
      </c>
      <c r="T14" s="486">
        <f t="shared" si="2"/>
        <v>34.404999708321334</v>
      </c>
      <c r="U14" s="524">
        <f t="shared" si="4"/>
        <v>162837078</v>
      </c>
      <c r="V14" s="547">
        <f t="shared" si="3"/>
        <v>-5033000</v>
      </c>
      <c r="W14" s="548"/>
    </row>
    <row r="15" spans="1:23" ht="15.75">
      <c r="A15" s="491" t="s">
        <v>43</v>
      </c>
      <c r="B15" s="492" t="s">
        <v>445</v>
      </c>
      <c r="C15" s="487">
        <f>'07'!C24</f>
        <v>197826986</v>
      </c>
      <c r="D15" s="487">
        <f>'07'!D24</f>
        <v>135558879</v>
      </c>
      <c r="E15" s="487">
        <f>'07'!E24</f>
        <v>62268107</v>
      </c>
      <c r="F15" s="487">
        <f>'07'!F24</f>
        <v>2534289</v>
      </c>
      <c r="G15" s="487">
        <f>'07'!G24</f>
        <v>3671684</v>
      </c>
      <c r="H15" s="487">
        <f>'07'!H24</f>
        <v>195292697</v>
      </c>
      <c r="I15" s="487">
        <f>'07'!I24</f>
        <v>113021955</v>
      </c>
      <c r="J15" s="487">
        <f>'07'!J24</f>
        <v>36499657</v>
      </c>
      <c r="K15" s="487">
        <f>'07'!K24</f>
        <v>11900324</v>
      </c>
      <c r="L15" s="487">
        <f>'07'!L24</f>
        <v>16192</v>
      </c>
      <c r="M15" s="487">
        <f>'07'!M24</f>
        <v>63076850</v>
      </c>
      <c r="N15" s="487">
        <f>'07'!N24</f>
        <v>1176151</v>
      </c>
      <c r="O15" s="487">
        <f>'07'!O24</f>
        <v>0</v>
      </c>
      <c r="P15" s="487">
        <f>'07'!P24</f>
        <v>0</v>
      </c>
      <c r="Q15" s="487">
        <f>'07'!Q24</f>
        <v>352781</v>
      </c>
      <c r="R15" s="487">
        <f>'07'!R24</f>
        <v>82270742</v>
      </c>
      <c r="S15" s="487">
        <f>'07'!S24</f>
        <v>146876524</v>
      </c>
      <c r="T15" s="486">
        <f t="shared" si="2"/>
        <v>42.83784774382995</v>
      </c>
      <c r="U15" s="524">
        <f t="shared" si="4"/>
        <v>48416173</v>
      </c>
      <c r="V15" s="547">
        <f t="shared" si="3"/>
        <v>-3671684</v>
      </c>
      <c r="W15" s="548"/>
    </row>
    <row r="16" spans="1:23" ht="15.75">
      <c r="A16" s="491" t="s">
        <v>44</v>
      </c>
      <c r="B16" s="493" t="s">
        <v>444</v>
      </c>
      <c r="C16" s="487">
        <f>'07'!C33</f>
        <v>134881004</v>
      </c>
      <c r="D16" s="487">
        <f>'07'!D33</f>
        <v>63860512</v>
      </c>
      <c r="E16" s="487">
        <f>'07'!E33</f>
        <v>71020492</v>
      </c>
      <c r="F16" s="487">
        <f>'07'!F33</f>
        <v>40785110</v>
      </c>
      <c r="G16" s="487">
        <f>'07'!G33</f>
        <v>0</v>
      </c>
      <c r="H16" s="487">
        <f>'07'!H33</f>
        <v>94095894</v>
      </c>
      <c r="I16" s="487">
        <f>'07'!I33</f>
        <v>70802498</v>
      </c>
      <c r="J16" s="487">
        <f>'07'!J33</f>
        <v>18376431</v>
      </c>
      <c r="K16" s="487">
        <f>'07'!K33</f>
        <v>3656463</v>
      </c>
      <c r="L16" s="487">
        <f>'07'!L33</f>
        <v>0</v>
      </c>
      <c r="M16" s="487">
        <f>'07'!M33</f>
        <v>48769604</v>
      </c>
      <c r="N16" s="487">
        <f>'07'!N33</f>
        <v>0</v>
      </c>
      <c r="O16" s="487">
        <f>'07'!O33</f>
        <v>0</v>
      </c>
      <c r="P16" s="487">
        <f>'07'!P33</f>
        <v>0</v>
      </c>
      <c r="Q16" s="487">
        <f>'07'!Q33</f>
        <v>0</v>
      </c>
      <c r="R16" s="487">
        <f>'07'!R33</f>
        <v>23293396</v>
      </c>
      <c r="S16" s="487">
        <f>'07'!S33</f>
        <v>72063000</v>
      </c>
      <c r="T16" s="486">
        <f t="shared" si="2"/>
        <v>31.11880883072798</v>
      </c>
      <c r="U16" s="524">
        <f t="shared" si="4"/>
        <v>22032894</v>
      </c>
      <c r="V16" s="547">
        <f t="shared" si="3"/>
        <v>0</v>
      </c>
      <c r="W16" s="548"/>
    </row>
    <row r="17" spans="1:23" ht="15.75">
      <c r="A17" s="491" t="s">
        <v>49</v>
      </c>
      <c r="B17" s="492" t="s">
        <v>443</v>
      </c>
      <c r="C17" s="487">
        <f>'07'!C39</f>
        <v>50910859</v>
      </c>
      <c r="D17" s="487">
        <f>'07'!D39</f>
        <v>35061438</v>
      </c>
      <c r="E17" s="487">
        <f>'07'!E39</f>
        <v>15849421</v>
      </c>
      <c r="F17" s="487">
        <f>'07'!F39</f>
        <v>962743</v>
      </c>
      <c r="G17" s="487">
        <f>'07'!G39</f>
        <v>0</v>
      </c>
      <c r="H17" s="487">
        <f>'07'!H39</f>
        <v>49948116</v>
      </c>
      <c r="I17" s="487">
        <f>'07'!I39</f>
        <v>24774726</v>
      </c>
      <c r="J17" s="487">
        <f>'07'!J39</f>
        <v>5354628</v>
      </c>
      <c r="K17" s="487">
        <f>'07'!K39</f>
        <v>1562127</v>
      </c>
      <c r="L17" s="487">
        <f>'07'!L39</f>
        <v>0</v>
      </c>
      <c r="M17" s="487">
        <f>'07'!M39</f>
        <v>17350164</v>
      </c>
      <c r="N17" s="487">
        <f>'07'!N39</f>
        <v>396967</v>
      </c>
      <c r="O17" s="487">
        <f>'07'!O39</f>
        <v>0</v>
      </c>
      <c r="P17" s="487">
        <f>'07'!P39</f>
        <v>0</v>
      </c>
      <c r="Q17" s="487">
        <f>'07'!Q39</f>
        <v>110840</v>
      </c>
      <c r="R17" s="487">
        <f>'07'!R39</f>
        <v>25173390</v>
      </c>
      <c r="S17" s="487">
        <f>'07'!S39</f>
        <v>43031361</v>
      </c>
      <c r="T17" s="486">
        <f t="shared" si="2"/>
        <v>27.918593327732466</v>
      </c>
      <c r="U17" s="524">
        <f t="shared" si="4"/>
        <v>6916755</v>
      </c>
      <c r="V17" s="547">
        <f t="shared" si="3"/>
        <v>0</v>
      </c>
      <c r="W17" s="548"/>
    </row>
    <row r="18" spans="1:23" ht="15.75">
      <c r="A18" s="491" t="s">
        <v>58</v>
      </c>
      <c r="B18" s="492" t="s">
        <v>442</v>
      </c>
      <c r="C18" s="487">
        <f>'07'!C44</f>
        <v>37144289</v>
      </c>
      <c r="D18" s="487">
        <f>'07'!D44</f>
        <v>20176454</v>
      </c>
      <c r="E18" s="487">
        <f>'07'!E44</f>
        <v>16967835</v>
      </c>
      <c r="F18" s="487">
        <f>'07'!F44</f>
        <v>224764</v>
      </c>
      <c r="G18" s="487">
        <f>'07'!G44</f>
        <v>0</v>
      </c>
      <c r="H18" s="487">
        <f>'07'!H44</f>
        <v>36919525</v>
      </c>
      <c r="I18" s="487">
        <f>'07'!I44</f>
        <v>24145656</v>
      </c>
      <c r="J18" s="487">
        <f>'07'!J44</f>
        <v>4436314</v>
      </c>
      <c r="K18" s="487">
        <f>'07'!K44</f>
        <v>4329825</v>
      </c>
      <c r="L18" s="487">
        <f>'07'!L44</f>
        <v>0</v>
      </c>
      <c r="M18" s="487">
        <f>'07'!M44</f>
        <v>15379517</v>
      </c>
      <c r="N18" s="487">
        <f>'07'!N44</f>
        <v>0</v>
      </c>
      <c r="O18" s="487">
        <f>'07'!O44</f>
        <v>0</v>
      </c>
      <c r="P18" s="487">
        <f>'07'!P44</f>
        <v>0</v>
      </c>
      <c r="Q18" s="487">
        <f>'07'!Q44</f>
        <v>0</v>
      </c>
      <c r="R18" s="487">
        <f>'07'!R44</f>
        <v>12773869</v>
      </c>
      <c r="S18" s="487">
        <f>'07'!S44</f>
        <v>28153386</v>
      </c>
      <c r="T18" s="486">
        <f t="shared" si="2"/>
        <v>36.30524264902971</v>
      </c>
      <c r="U18" s="524">
        <f t="shared" si="4"/>
        <v>8766139</v>
      </c>
      <c r="V18" s="547">
        <f t="shared" si="3"/>
        <v>0</v>
      </c>
      <c r="W18" s="548"/>
    </row>
    <row r="19" spans="1:23" ht="15.75">
      <c r="A19" s="491" t="s">
        <v>59</v>
      </c>
      <c r="B19" s="492" t="s">
        <v>441</v>
      </c>
      <c r="C19" s="487">
        <f>'07'!C48</f>
        <v>46293151</v>
      </c>
      <c r="D19" s="487">
        <f>'07'!D48</f>
        <v>30210425</v>
      </c>
      <c r="E19" s="487">
        <f>'07'!E48</f>
        <v>16082726</v>
      </c>
      <c r="F19" s="487">
        <f>'07'!F48</f>
        <v>1144179</v>
      </c>
      <c r="G19" s="487">
        <f>'07'!G48</f>
        <v>0</v>
      </c>
      <c r="H19" s="487">
        <f>'07'!H48</f>
        <v>45148972</v>
      </c>
      <c r="I19" s="487">
        <f>'07'!I48</f>
        <v>30795826</v>
      </c>
      <c r="J19" s="487">
        <f>'07'!J48</f>
        <v>5658182</v>
      </c>
      <c r="K19" s="487">
        <f>'07'!K48</f>
        <v>6940871</v>
      </c>
      <c r="L19" s="487">
        <f>'07'!L48</f>
        <v>16250</v>
      </c>
      <c r="M19" s="487">
        <f>'07'!M48</f>
        <v>18027475</v>
      </c>
      <c r="N19" s="487">
        <f>'07'!N48</f>
        <v>153048</v>
      </c>
      <c r="O19" s="487">
        <f>'07'!O48</f>
        <v>0</v>
      </c>
      <c r="P19" s="487">
        <f>'07'!P48</f>
        <v>0</v>
      </c>
      <c r="Q19" s="487">
        <f>'07'!Q48</f>
        <v>0</v>
      </c>
      <c r="R19" s="487">
        <f>'07'!R48</f>
        <v>14353146</v>
      </c>
      <c r="S19" s="487">
        <f>'07'!S48</f>
        <v>32533669</v>
      </c>
      <c r="T19" s="486">
        <f t="shared" si="2"/>
        <v>40.964327438400254</v>
      </c>
      <c r="U19" s="524">
        <f t="shared" si="4"/>
        <v>12615303</v>
      </c>
      <c r="V19" s="547">
        <f t="shared" si="3"/>
        <v>0</v>
      </c>
      <c r="W19" s="548"/>
    </row>
    <row r="20" spans="1:23" ht="15.75">
      <c r="A20" s="491" t="s">
        <v>60</v>
      </c>
      <c r="B20" s="492" t="s">
        <v>440</v>
      </c>
      <c r="C20" s="487">
        <f>'07'!C54</f>
        <v>87951358</v>
      </c>
      <c r="D20" s="487">
        <f>'07'!D54</f>
        <v>63992181</v>
      </c>
      <c r="E20" s="487">
        <f>'07'!E54</f>
        <v>23959177</v>
      </c>
      <c r="F20" s="487">
        <f>'07'!F54</f>
        <v>121125</v>
      </c>
      <c r="G20" s="487">
        <f>'07'!G54</f>
        <v>0</v>
      </c>
      <c r="H20" s="487">
        <f>'07'!H54</f>
        <v>87830233</v>
      </c>
      <c r="I20" s="487">
        <f>'07'!I54</f>
        <v>53390626</v>
      </c>
      <c r="J20" s="487">
        <f>'07'!J54</f>
        <v>14473840</v>
      </c>
      <c r="K20" s="487">
        <f>'07'!K54</f>
        <v>6222042</v>
      </c>
      <c r="L20" s="487">
        <f>'07'!L54</f>
        <v>0</v>
      </c>
      <c r="M20" s="487">
        <f>'07'!M54</f>
        <v>32694744</v>
      </c>
      <c r="N20" s="487">
        <f>'07'!N54</f>
        <v>0</v>
      </c>
      <c r="O20" s="487">
        <f>'07'!O54</f>
        <v>0</v>
      </c>
      <c r="P20" s="487">
        <f>'07'!P54</f>
        <v>0</v>
      </c>
      <c r="Q20" s="487">
        <f>'07'!Q54</f>
        <v>0</v>
      </c>
      <c r="R20" s="487">
        <f>'07'!R54</f>
        <v>34439607</v>
      </c>
      <c r="S20" s="487">
        <f>'07'!S54</f>
        <v>67134351</v>
      </c>
      <c r="T20" s="486">
        <f t="shared" si="2"/>
        <v>38.76313793361404</v>
      </c>
      <c r="U20" s="524">
        <f t="shared" si="4"/>
        <v>20695882</v>
      </c>
      <c r="V20" s="547">
        <f t="shared" si="3"/>
        <v>0</v>
      </c>
      <c r="W20" s="548"/>
    </row>
    <row r="21" spans="1:23" ht="15.75">
      <c r="A21" s="491" t="s">
        <v>61</v>
      </c>
      <c r="B21" s="492" t="s">
        <v>439</v>
      </c>
      <c r="C21" s="487">
        <f>'07'!C61</f>
        <v>57296035</v>
      </c>
      <c r="D21" s="487">
        <f>'07'!D61</f>
        <v>34688027</v>
      </c>
      <c r="E21" s="487">
        <f>'07'!E61</f>
        <v>22608008</v>
      </c>
      <c r="F21" s="487">
        <f>'07'!F61</f>
        <v>186487</v>
      </c>
      <c r="G21" s="487">
        <f>'07'!G61</f>
        <v>0</v>
      </c>
      <c r="H21" s="487">
        <f>'07'!H61</f>
        <v>57109548</v>
      </c>
      <c r="I21" s="487">
        <f>'07'!I61</f>
        <v>32849928</v>
      </c>
      <c r="J21" s="487">
        <f>'07'!J61</f>
        <v>7926370</v>
      </c>
      <c r="K21" s="487">
        <f>'07'!K61</f>
        <v>1414787</v>
      </c>
      <c r="L21" s="487">
        <f>'07'!L61</f>
        <v>0</v>
      </c>
      <c r="M21" s="487">
        <f>'07'!M61</f>
        <v>23505709</v>
      </c>
      <c r="N21" s="487">
        <f>'07'!N61</f>
        <v>2862</v>
      </c>
      <c r="O21" s="487">
        <f>'07'!O61</f>
        <v>0</v>
      </c>
      <c r="P21" s="487">
        <f>'07'!P61</f>
        <v>0</v>
      </c>
      <c r="Q21" s="487">
        <f>'07'!Q61</f>
        <v>200</v>
      </c>
      <c r="R21" s="487">
        <f>'07'!R61</f>
        <v>24259620</v>
      </c>
      <c r="S21" s="487">
        <f>'07'!S61</f>
        <v>47768391</v>
      </c>
      <c r="T21" s="486">
        <f t="shared" si="2"/>
        <v>28.435852279493577</v>
      </c>
      <c r="U21" s="524">
        <f t="shared" si="4"/>
        <v>9341157</v>
      </c>
      <c r="V21" s="547">
        <f t="shared" si="3"/>
        <v>0</v>
      </c>
      <c r="W21" s="548"/>
    </row>
    <row r="22" spans="1:23" ht="15.75">
      <c r="A22" s="491" t="s">
        <v>62</v>
      </c>
      <c r="B22" s="492" t="s">
        <v>438</v>
      </c>
      <c r="C22" s="487">
        <f>'07'!C68</f>
        <v>152835230</v>
      </c>
      <c r="D22" s="487">
        <f>'07'!D68</f>
        <v>119714458</v>
      </c>
      <c r="E22" s="487">
        <f>'07'!E68</f>
        <v>33120772</v>
      </c>
      <c r="F22" s="487">
        <f>'07'!F68</f>
        <v>11329329</v>
      </c>
      <c r="G22" s="487">
        <f>'07'!G68</f>
        <v>0</v>
      </c>
      <c r="H22" s="487">
        <f>'07'!H68</f>
        <v>141505901</v>
      </c>
      <c r="I22" s="487">
        <f>'07'!I68</f>
        <v>82295437</v>
      </c>
      <c r="J22" s="487">
        <f>'07'!J68</f>
        <v>15807049</v>
      </c>
      <c r="K22" s="487">
        <f>'07'!K68</f>
        <v>2319708</v>
      </c>
      <c r="L22" s="487">
        <f>'07'!L68</f>
        <v>0</v>
      </c>
      <c r="M22" s="487">
        <f>'07'!M68</f>
        <v>64135830</v>
      </c>
      <c r="N22" s="487">
        <f>'07'!N68</f>
        <v>0</v>
      </c>
      <c r="O22" s="487">
        <f>'07'!O68</f>
        <v>32850</v>
      </c>
      <c r="P22" s="487">
        <f>'07'!P68</f>
        <v>0</v>
      </c>
      <c r="Q22" s="487">
        <f>'07'!Q68</f>
        <v>0</v>
      </c>
      <c r="R22" s="487">
        <f>'07'!R68</f>
        <v>59210464</v>
      </c>
      <c r="S22" s="487">
        <f>'07'!S68</f>
        <v>123379144</v>
      </c>
      <c r="T22" s="486">
        <f t="shared" si="2"/>
        <v>22.026442365206712</v>
      </c>
      <c r="U22" s="524">
        <f t="shared" si="4"/>
        <v>18126757</v>
      </c>
      <c r="V22" s="547">
        <f t="shared" si="3"/>
        <v>0</v>
      </c>
      <c r="W22" s="548"/>
    </row>
    <row r="23" spans="1:23" ht="15.75">
      <c r="A23" s="491" t="s">
        <v>63</v>
      </c>
      <c r="B23" s="492" t="s">
        <v>437</v>
      </c>
      <c r="C23" s="487">
        <f>'07'!C74</f>
        <v>76915484</v>
      </c>
      <c r="D23" s="487">
        <f>'07'!D74</f>
        <v>48037666</v>
      </c>
      <c r="E23" s="487">
        <f>'07'!E74</f>
        <v>28877818</v>
      </c>
      <c r="F23" s="487">
        <f>'07'!F74</f>
        <v>859051</v>
      </c>
      <c r="G23" s="487">
        <f>'07'!G74</f>
        <v>1361316</v>
      </c>
      <c r="H23" s="487">
        <f>'07'!H74</f>
        <v>76056433</v>
      </c>
      <c r="I23" s="487">
        <f>'07'!I74</f>
        <v>41218158</v>
      </c>
      <c r="J23" s="487">
        <f>'07'!J74</f>
        <v>9247434</v>
      </c>
      <c r="K23" s="487">
        <f>'07'!K74</f>
        <v>6678584</v>
      </c>
      <c r="L23" s="487">
        <f>'07'!L74</f>
        <v>0</v>
      </c>
      <c r="M23" s="487">
        <f>'07'!M74</f>
        <v>25006075</v>
      </c>
      <c r="N23" s="487">
        <f>'07'!N74</f>
        <v>286065</v>
      </c>
      <c r="O23" s="487">
        <f>'07'!O74</f>
        <v>0</v>
      </c>
      <c r="P23" s="487">
        <f>'07'!P74</f>
        <v>0</v>
      </c>
      <c r="Q23" s="487">
        <f>'07'!Q74</f>
        <v>0</v>
      </c>
      <c r="R23" s="487">
        <f>'07'!R74</f>
        <v>34838275</v>
      </c>
      <c r="S23" s="487">
        <f>'07'!S74</f>
        <v>60130415</v>
      </c>
      <c r="T23" s="486">
        <f t="shared" si="2"/>
        <v>38.638354484448335</v>
      </c>
      <c r="U23" s="524">
        <f t="shared" si="4"/>
        <v>15926018</v>
      </c>
      <c r="V23" s="547">
        <f t="shared" si="3"/>
        <v>-1361316</v>
      </c>
      <c r="W23" s="548"/>
    </row>
    <row r="24" spans="1:23" ht="16.5">
      <c r="A24" s="427"/>
      <c r="B24" s="427"/>
      <c r="C24" s="427"/>
      <c r="D24" s="427"/>
      <c r="E24" s="427"/>
      <c r="F24" s="426"/>
      <c r="G24" s="426"/>
      <c r="H24" s="426"/>
      <c r="I24" s="426"/>
      <c r="J24" s="426"/>
      <c r="K24" s="426"/>
      <c r="L24" s="426"/>
      <c r="M24" s="426"/>
      <c r="N24" s="962" t="str">
        <f>'Thong tin'!B8</f>
        <v>Trà Vinh, ngày 03 tháng 9  năm 2019</v>
      </c>
      <c r="O24" s="962"/>
      <c r="P24" s="962"/>
      <c r="Q24" s="962"/>
      <c r="R24" s="962"/>
      <c r="S24" s="962"/>
      <c r="T24" s="962"/>
      <c r="U24" s="461"/>
      <c r="V24" s="396"/>
      <c r="W24" s="548"/>
    </row>
    <row r="25" spans="1:23" ht="16.5">
      <c r="A25" s="425"/>
      <c r="B25" s="969"/>
      <c r="C25" s="969"/>
      <c r="D25" s="969"/>
      <c r="E25" s="969"/>
      <c r="F25" s="437"/>
      <c r="G25" s="437"/>
      <c r="H25" s="437"/>
      <c r="I25" s="437"/>
      <c r="J25" s="437"/>
      <c r="K25" s="437"/>
      <c r="L25" s="437"/>
      <c r="M25" s="437"/>
      <c r="N25" s="437"/>
      <c r="O25" s="920" t="str">
        <f>'Thong tin'!B7</f>
        <v>PHÓ CỤC TRƯỞNG</v>
      </c>
      <c r="P25" s="920"/>
      <c r="Q25" s="920"/>
      <c r="R25" s="920"/>
      <c r="S25" s="920"/>
      <c r="T25" s="920"/>
      <c r="U25" s="457"/>
      <c r="V25" s="396"/>
      <c r="W25" s="548"/>
    </row>
    <row r="26" spans="1:22" ht="16.5">
      <c r="A26" s="394"/>
      <c r="B26" s="969" t="s">
        <v>4</v>
      </c>
      <c r="C26" s="969"/>
      <c r="D26" s="969"/>
      <c r="E26" s="969"/>
      <c r="F26" s="397"/>
      <c r="G26" s="397"/>
      <c r="H26" s="397"/>
      <c r="I26" s="397"/>
      <c r="J26" s="397"/>
      <c r="K26" s="397"/>
      <c r="L26" s="397"/>
      <c r="M26" s="397"/>
      <c r="N26" s="397"/>
      <c r="O26" s="920"/>
      <c r="P26" s="920"/>
      <c r="Q26" s="920"/>
      <c r="R26" s="920"/>
      <c r="S26" s="920"/>
      <c r="T26" s="920"/>
      <c r="U26" s="457"/>
      <c r="V26" s="394"/>
    </row>
    <row r="27" spans="1:22" ht="15.75">
      <c r="A27" s="394"/>
      <c r="B27" s="438"/>
      <c r="C27" s="438"/>
      <c r="D27" s="397"/>
      <c r="E27" s="397"/>
      <c r="F27" s="397"/>
      <c r="G27" s="397"/>
      <c r="H27" s="397"/>
      <c r="I27" s="397"/>
      <c r="J27" s="397"/>
      <c r="K27" s="397"/>
      <c r="L27" s="397"/>
      <c r="M27" s="397"/>
      <c r="N27" s="397"/>
      <c r="O27" s="397"/>
      <c r="P27" s="397"/>
      <c r="Q27" s="397"/>
      <c r="R27" s="397"/>
      <c r="S27" s="438"/>
      <c r="T27" s="438"/>
      <c r="U27" s="438"/>
      <c r="V27" s="394"/>
    </row>
    <row r="28" spans="1:22" ht="15.75">
      <c r="A28" s="394"/>
      <c r="B28" s="438"/>
      <c r="C28" s="438"/>
      <c r="D28" s="397"/>
      <c r="E28" s="397"/>
      <c r="F28" s="397"/>
      <c r="G28" s="397"/>
      <c r="H28" s="397"/>
      <c r="I28" s="397"/>
      <c r="J28" s="397"/>
      <c r="K28" s="397"/>
      <c r="L28" s="397"/>
      <c r="M28" s="397"/>
      <c r="N28" s="397"/>
      <c r="O28" s="397"/>
      <c r="P28" s="397"/>
      <c r="Q28" s="397"/>
      <c r="R28" s="397"/>
      <c r="S28" s="438"/>
      <c r="T28" s="438"/>
      <c r="U28" s="438"/>
      <c r="V28" s="394"/>
    </row>
    <row r="29" spans="1:22" ht="15.75">
      <c r="A29" s="423"/>
      <c r="B29" s="438"/>
      <c r="C29" s="438"/>
      <c r="D29" s="397"/>
      <c r="E29" s="397"/>
      <c r="F29" s="397"/>
      <c r="G29" s="397"/>
      <c r="H29" s="397"/>
      <c r="I29" s="397"/>
      <c r="J29" s="397"/>
      <c r="K29" s="397"/>
      <c r="L29" s="397"/>
      <c r="M29" s="397"/>
      <c r="N29" s="397"/>
      <c r="O29" s="397"/>
      <c r="P29" s="397"/>
      <c r="Q29" s="397"/>
      <c r="R29" s="397"/>
      <c r="S29" s="438"/>
      <c r="T29" s="438"/>
      <c r="U29" s="438"/>
      <c r="V29" s="394"/>
    </row>
    <row r="30" spans="1:22" ht="15.75">
      <c r="A30" s="394"/>
      <c r="B30" s="963"/>
      <c r="C30" s="963"/>
      <c r="D30" s="963"/>
      <c r="E30" s="963"/>
      <c r="F30" s="963"/>
      <c r="G30" s="963"/>
      <c r="H30" s="963"/>
      <c r="I30" s="963"/>
      <c r="J30" s="963"/>
      <c r="K30" s="963"/>
      <c r="L30" s="963"/>
      <c r="M30" s="963"/>
      <c r="N30" s="963"/>
      <c r="O30" s="963"/>
      <c r="P30" s="963"/>
      <c r="Q30" s="397"/>
      <c r="R30" s="397"/>
      <c r="S30" s="438"/>
      <c r="T30" s="438"/>
      <c r="U30" s="438"/>
      <c r="V30" s="434"/>
    </row>
    <row r="31" spans="1:22" ht="15.75">
      <c r="A31" s="394"/>
      <c r="B31" s="963"/>
      <c r="C31" s="963"/>
      <c r="D31" s="963"/>
      <c r="E31" s="963"/>
      <c r="F31" s="963"/>
      <c r="G31" s="963"/>
      <c r="H31" s="963"/>
      <c r="I31" s="963"/>
      <c r="J31" s="963"/>
      <c r="K31" s="963"/>
      <c r="L31" s="963"/>
      <c r="M31" s="963"/>
      <c r="N31" s="963"/>
      <c r="O31" s="963"/>
      <c r="P31" s="963"/>
      <c r="Q31" s="397"/>
      <c r="R31" s="397"/>
      <c r="S31" s="438"/>
      <c r="T31" s="438"/>
      <c r="U31" s="438"/>
      <c r="V31" s="394"/>
    </row>
    <row r="32" spans="1:22" ht="15.75">
      <c r="A32" s="394"/>
      <c r="B32" s="963"/>
      <c r="C32" s="963"/>
      <c r="D32" s="963"/>
      <c r="E32" s="963"/>
      <c r="F32" s="963"/>
      <c r="G32" s="963"/>
      <c r="H32" s="963"/>
      <c r="I32" s="963"/>
      <c r="J32" s="963"/>
      <c r="K32" s="963"/>
      <c r="L32" s="963"/>
      <c r="M32" s="963"/>
      <c r="N32" s="963"/>
      <c r="O32" s="963"/>
      <c r="P32" s="963"/>
      <c r="Q32" s="397"/>
      <c r="R32" s="397"/>
      <c r="S32" s="438"/>
      <c r="T32" s="438"/>
      <c r="U32" s="438"/>
      <c r="V32" s="394"/>
    </row>
    <row r="33" spans="1:22" ht="15.75">
      <c r="A33" s="421"/>
      <c r="B33" s="913" t="s">
        <v>434</v>
      </c>
      <c r="C33" s="913"/>
      <c r="D33" s="913"/>
      <c r="E33" s="913"/>
      <c r="F33" s="439"/>
      <c r="G33" s="439"/>
      <c r="H33" s="439"/>
      <c r="I33" s="439"/>
      <c r="J33" s="439"/>
      <c r="K33" s="439"/>
      <c r="L33" s="439"/>
      <c r="M33" s="439"/>
      <c r="N33" s="439"/>
      <c r="O33" s="913" t="str">
        <f>'Thong tin'!B6</f>
        <v>Nguyễn Minh Khiêm</v>
      </c>
      <c r="P33" s="913"/>
      <c r="Q33" s="913"/>
      <c r="R33" s="913"/>
      <c r="S33" s="913"/>
      <c r="T33" s="913"/>
      <c r="U33" s="455"/>
      <c r="V33" s="394"/>
    </row>
  </sheetData>
  <sheetProtection/>
  <mergeCells count="47">
    <mergeCell ref="Q5:T5"/>
    <mergeCell ref="Q9:Q10"/>
    <mergeCell ref="E3:P3"/>
    <mergeCell ref="A3:D3"/>
    <mergeCell ref="G6:G10"/>
    <mergeCell ref="Q3:T3"/>
    <mergeCell ref="M9:M10"/>
    <mergeCell ref="R7:R10"/>
    <mergeCell ref="E9:E10"/>
    <mergeCell ref="D7:E8"/>
    <mergeCell ref="A2:D2"/>
    <mergeCell ref="D9:D10"/>
    <mergeCell ref="E1:P1"/>
    <mergeCell ref="Q1:T1"/>
    <mergeCell ref="I8:I10"/>
    <mergeCell ref="J8:Q8"/>
    <mergeCell ref="Q4:T4"/>
    <mergeCell ref="E2:P2"/>
    <mergeCell ref="C7:C10"/>
    <mergeCell ref="Q2:T2"/>
    <mergeCell ref="S6:S10"/>
    <mergeCell ref="I7:Q7"/>
    <mergeCell ref="K9:K10"/>
    <mergeCell ref="L9:L10"/>
    <mergeCell ref="H6:R6"/>
    <mergeCell ref="O9:O10"/>
    <mergeCell ref="N9:N10"/>
    <mergeCell ref="B31:P31"/>
    <mergeCell ref="U6:U10"/>
    <mergeCell ref="B25:E25"/>
    <mergeCell ref="O25:T25"/>
    <mergeCell ref="A6:B10"/>
    <mergeCell ref="T6:T10"/>
    <mergeCell ref="P9:P10"/>
    <mergeCell ref="H7:H10"/>
    <mergeCell ref="A11:B11"/>
    <mergeCell ref="C6:E6"/>
    <mergeCell ref="N24:T24"/>
    <mergeCell ref="B32:P32"/>
    <mergeCell ref="A12:B12"/>
    <mergeCell ref="B30:P30"/>
    <mergeCell ref="J9:J10"/>
    <mergeCell ref="B33:E33"/>
    <mergeCell ref="O33:T33"/>
    <mergeCell ref="F6:F10"/>
    <mergeCell ref="B26:E26"/>
    <mergeCell ref="O26:T26"/>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X90"/>
  <sheetViews>
    <sheetView showZeros="0" view="pageBreakPreview" zoomScale="91" zoomScaleSheetLayoutView="91" zoomScalePageLayoutView="0" workbookViewId="0" topLeftCell="A8">
      <pane xSplit="2" ySplit="4" topLeftCell="C72" activePane="bottomRight" state="frozen"/>
      <selection pane="topLeft" activeCell="G53" sqref="F52:G53"/>
      <selection pane="topRight" activeCell="G53" sqref="F52:G53"/>
      <selection pane="bottomLeft" activeCell="G53" sqref="F52:G53"/>
      <selection pane="bottomRight" activeCell="B12" sqref="B12:U79"/>
    </sheetView>
  </sheetViews>
  <sheetFormatPr defaultColWidth="9.00390625" defaultRowHeight="15.75"/>
  <cols>
    <col min="1" max="1" width="4.75390625" style="23" customWidth="1"/>
    <col min="2" max="2" width="14.75390625" style="23" customWidth="1"/>
    <col min="3" max="3" width="6.875" style="23" customWidth="1"/>
    <col min="4" max="8" width="6.625" style="23" customWidth="1"/>
    <col min="9" max="9" width="8.375" style="23" customWidth="1"/>
    <col min="10" max="21" width="6.625" style="23" customWidth="1"/>
    <col min="22" max="22" width="5.25390625" style="23" customWidth="1"/>
    <col min="23" max="23" width="6.375" style="23" customWidth="1"/>
    <col min="24" max="24" width="4.875" style="23" customWidth="1"/>
    <col min="25" max="16384" width="9.00390625" style="23" customWidth="1"/>
  </cols>
  <sheetData>
    <row r="1" spans="1:21" ht="20.25" customHeight="1">
      <c r="A1" s="409" t="s">
        <v>27</v>
      </c>
      <c r="B1" s="409"/>
      <c r="C1" s="409"/>
      <c r="E1" s="996" t="s">
        <v>66</v>
      </c>
      <c r="F1" s="996"/>
      <c r="G1" s="996"/>
      <c r="H1" s="996"/>
      <c r="I1" s="996"/>
      <c r="J1" s="996"/>
      <c r="K1" s="996"/>
      <c r="L1" s="996"/>
      <c r="M1" s="996"/>
      <c r="N1" s="996"/>
      <c r="O1" s="996"/>
      <c r="P1" s="405" t="s">
        <v>515</v>
      </c>
      <c r="Q1" s="405"/>
      <c r="R1" s="405"/>
      <c r="S1" s="405"/>
      <c r="T1" s="405"/>
      <c r="U1" s="405"/>
    </row>
    <row r="2" spans="1:21" ht="17.25" customHeight="1">
      <c r="A2" s="1001" t="s">
        <v>245</v>
      </c>
      <c r="B2" s="1001"/>
      <c r="C2" s="1001"/>
      <c r="D2" s="1001"/>
      <c r="E2" s="997" t="s">
        <v>34</v>
      </c>
      <c r="F2" s="997"/>
      <c r="G2" s="997"/>
      <c r="H2" s="997"/>
      <c r="I2" s="997"/>
      <c r="J2" s="997"/>
      <c r="K2" s="997"/>
      <c r="L2" s="997"/>
      <c r="M2" s="997"/>
      <c r="N2" s="997"/>
      <c r="O2" s="997"/>
      <c r="P2" s="1009" t="str">
        <f>'Thong tin'!B4</f>
        <v>CTHADS TRÀ VINH</v>
      </c>
      <c r="Q2" s="1009"/>
      <c r="R2" s="1009"/>
      <c r="S2" s="1009"/>
      <c r="T2" s="450"/>
      <c r="U2" s="450"/>
    </row>
    <row r="3" spans="1:21" ht="19.5" customHeight="1">
      <c r="A3" s="1001" t="s">
        <v>246</v>
      </c>
      <c r="B3" s="1001"/>
      <c r="C3" s="1001"/>
      <c r="D3" s="1001"/>
      <c r="E3" s="998" t="str">
        <f>'Thong tin'!B3</f>
        <v>11 tháng / năm 2019</v>
      </c>
      <c r="F3" s="998"/>
      <c r="G3" s="998"/>
      <c r="H3" s="998"/>
      <c r="I3" s="998"/>
      <c r="J3" s="998"/>
      <c r="K3" s="998"/>
      <c r="L3" s="998"/>
      <c r="M3" s="998"/>
      <c r="N3" s="998"/>
      <c r="O3" s="998"/>
      <c r="P3" s="405" t="s">
        <v>514</v>
      </c>
      <c r="Q3" s="409"/>
      <c r="R3" s="405"/>
      <c r="S3" s="405"/>
      <c r="T3" s="405"/>
      <c r="U3" s="405"/>
    </row>
    <row r="4" spans="1:21" ht="14.25" customHeight="1">
      <c r="A4" s="398" t="s">
        <v>125</v>
      </c>
      <c r="B4" s="409"/>
      <c r="C4" s="409"/>
      <c r="D4" s="409"/>
      <c r="E4" s="409"/>
      <c r="F4" s="409"/>
      <c r="G4" s="409"/>
      <c r="H4" s="409"/>
      <c r="I4" s="409"/>
      <c r="J4" s="409"/>
      <c r="K4" s="409"/>
      <c r="L4" s="409"/>
      <c r="M4" s="409"/>
      <c r="N4" s="408"/>
      <c r="O4" s="408"/>
      <c r="P4" s="1002" t="s">
        <v>305</v>
      </c>
      <c r="Q4" s="1002"/>
      <c r="R4" s="1002"/>
      <c r="S4" s="1002"/>
      <c r="T4" s="454"/>
      <c r="U4" s="454"/>
    </row>
    <row r="5" spans="2:21" ht="21.75" customHeight="1">
      <c r="B5" s="380"/>
      <c r="C5" s="380"/>
      <c r="Q5" s="407" t="s">
        <v>513</v>
      </c>
      <c r="R5" s="406"/>
      <c r="S5" s="406"/>
      <c r="T5" s="406"/>
      <c r="U5" s="406"/>
    </row>
    <row r="6" spans="1:21" ht="19.5" customHeight="1">
      <c r="A6" s="1004" t="s">
        <v>57</v>
      </c>
      <c r="B6" s="1004"/>
      <c r="C6" s="1003" t="s">
        <v>126</v>
      </c>
      <c r="D6" s="1003"/>
      <c r="E6" s="1003"/>
      <c r="F6" s="999" t="s">
        <v>101</v>
      </c>
      <c r="G6" s="999" t="s">
        <v>127</v>
      </c>
      <c r="H6" s="1010" t="s">
        <v>102</v>
      </c>
      <c r="I6" s="1010"/>
      <c r="J6" s="1010"/>
      <c r="K6" s="1010"/>
      <c r="L6" s="1010"/>
      <c r="M6" s="1010"/>
      <c r="N6" s="1010"/>
      <c r="O6" s="1010"/>
      <c r="P6" s="1010"/>
      <c r="Q6" s="1010"/>
      <c r="R6" s="1003" t="s">
        <v>250</v>
      </c>
      <c r="S6" s="1003" t="s">
        <v>512</v>
      </c>
      <c r="T6" s="479"/>
      <c r="U6" s="479"/>
    </row>
    <row r="7" spans="1:21" s="405" customFormat="1" ht="27" customHeight="1">
      <c r="A7" s="1004"/>
      <c r="B7" s="1004"/>
      <c r="C7" s="1003" t="s">
        <v>42</v>
      </c>
      <c r="D7" s="1003" t="s">
        <v>7</v>
      </c>
      <c r="E7" s="1003"/>
      <c r="F7" s="999"/>
      <c r="G7" s="999"/>
      <c r="H7" s="999" t="s">
        <v>102</v>
      </c>
      <c r="I7" s="1003" t="s">
        <v>103</v>
      </c>
      <c r="J7" s="1003"/>
      <c r="K7" s="1003"/>
      <c r="L7" s="1003"/>
      <c r="M7" s="1003"/>
      <c r="N7" s="1003"/>
      <c r="O7" s="1003"/>
      <c r="P7" s="1003"/>
      <c r="Q7" s="999" t="s">
        <v>112</v>
      </c>
      <c r="R7" s="1003"/>
      <c r="S7" s="1003"/>
      <c r="T7" s="1008" t="s">
        <v>528</v>
      </c>
      <c r="U7" s="1008" t="s">
        <v>529</v>
      </c>
    </row>
    <row r="8" spans="1:21" ht="21.75" customHeight="1">
      <c r="A8" s="1004"/>
      <c r="B8" s="1004"/>
      <c r="C8" s="1003"/>
      <c r="D8" s="1003" t="s">
        <v>129</v>
      </c>
      <c r="E8" s="1003" t="s">
        <v>130</v>
      </c>
      <c r="F8" s="999"/>
      <c r="G8" s="999"/>
      <c r="H8" s="999"/>
      <c r="I8" s="999" t="s">
        <v>511</v>
      </c>
      <c r="J8" s="1003" t="s">
        <v>7</v>
      </c>
      <c r="K8" s="1003"/>
      <c r="L8" s="1003"/>
      <c r="M8" s="1003"/>
      <c r="N8" s="1003"/>
      <c r="O8" s="1003"/>
      <c r="P8" s="1003"/>
      <c r="Q8" s="999"/>
      <c r="R8" s="1003"/>
      <c r="S8" s="1003"/>
      <c r="T8" s="1008"/>
      <c r="U8" s="1008"/>
    </row>
    <row r="9" spans="1:21" ht="84" customHeight="1">
      <c r="A9" s="1004"/>
      <c r="B9" s="1004"/>
      <c r="C9" s="1003"/>
      <c r="D9" s="1003"/>
      <c r="E9" s="1003"/>
      <c r="F9" s="999"/>
      <c r="G9" s="999"/>
      <c r="H9" s="999"/>
      <c r="I9" s="999"/>
      <c r="J9" s="479" t="s">
        <v>131</v>
      </c>
      <c r="K9" s="479" t="s">
        <v>132</v>
      </c>
      <c r="L9" s="480" t="s">
        <v>105</v>
      </c>
      <c r="M9" s="480" t="s">
        <v>133</v>
      </c>
      <c r="N9" s="480" t="s">
        <v>108</v>
      </c>
      <c r="O9" s="480" t="s">
        <v>251</v>
      </c>
      <c r="P9" s="480" t="s">
        <v>111</v>
      </c>
      <c r="Q9" s="999"/>
      <c r="R9" s="1003"/>
      <c r="S9" s="1003"/>
      <c r="T9" s="1008"/>
      <c r="U9" s="1008"/>
    </row>
    <row r="10" spans="1:24" ht="15" customHeight="1">
      <c r="A10" s="1000" t="s">
        <v>6</v>
      </c>
      <c r="B10" s="1000"/>
      <c r="C10" s="481">
        <v>1</v>
      </c>
      <c r="D10" s="481">
        <v>2</v>
      </c>
      <c r="E10" s="481">
        <v>3</v>
      </c>
      <c r="F10" s="481">
        <v>4</v>
      </c>
      <c r="G10" s="481">
        <v>5</v>
      </c>
      <c r="H10" s="481">
        <v>6</v>
      </c>
      <c r="I10" s="481">
        <v>7</v>
      </c>
      <c r="J10" s="481">
        <v>8</v>
      </c>
      <c r="K10" s="481">
        <v>9</v>
      </c>
      <c r="L10" s="481">
        <v>10</v>
      </c>
      <c r="M10" s="481">
        <v>11</v>
      </c>
      <c r="N10" s="481">
        <v>12</v>
      </c>
      <c r="O10" s="481">
        <v>13</v>
      </c>
      <c r="P10" s="481">
        <v>14</v>
      </c>
      <c r="Q10" s="481">
        <v>15</v>
      </c>
      <c r="R10" s="481">
        <v>16</v>
      </c>
      <c r="S10" s="481">
        <v>17</v>
      </c>
      <c r="T10" s="481">
        <v>18</v>
      </c>
      <c r="U10" s="481">
        <v>19</v>
      </c>
      <c r="V10" s="558">
        <v>21</v>
      </c>
      <c r="W10" s="558">
        <v>22</v>
      </c>
      <c r="X10" s="558">
        <v>23</v>
      </c>
    </row>
    <row r="11" spans="1:24" ht="21.75" customHeight="1">
      <c r="A11" s="917" t="s">
        <v>30</v>
      </c>
      <c r="B11" s="1013"/>
      <c r="C11" s="502">
        <f aca="true" t="shared" si="0" ref="C11:R11">+C12+C23</f>
        <v>19303</v>
      </c>
      <c r="D11" s="502">
        <f t="shared" si="0"/>
        <v>7529</v>
      </c>
      <c r="E11" s="502">
        <f t="shared" si="0"/>
        <v>11774</v>
      </c>
      <c r="F11" s="502">
        <f t="shared" si="0"/>
        <v>122</v>
      </c>
      <c r="G11" s="502">
        <f t="shared" si="0"/>
        <v>12</v>
      </c>
      <c r="H11" s="502">
        <f t="shared" si="0"/>
        <v>19181</v>
      </c>
      <c r="I11" s="502">
        <f t="shared" si="0"/>
        <v>14710</v>
      </c>
      <c r="J11" s="502">
        <f t="shared" si="0"/>
        <v>9440</v>
      </c>
      <c r="K11" s="502">
        <f t="shared" si="0"/>
        <v>408</v>
      </c>
      <c r="L11" s="502">
        <f t="shared" si="0"/>
        <v>4803</v>
      </c>
      <c r="M11" s="502">
        <f t="shared" si="0"/>
        <v>34</v>
      </c>
      <c r="N11" s="502">
        <f t="shared" si="0"/>
        <v>2</v>
      </c>
      <c r="O11" s="502">
        <f t="shared" si="0"/>
        <v>0</v>
      </c>
      <c r="P11" s="502">
        <f t="shared" si="0"/>
        <v>23</v>
      </c>
      <c r="Q11" s="502">
        <f t="shared" si="0"/>
        <v>4471</v>
      </c>
      <c r="R11" s="502">
        <f t="shared" si="0"/>
        <v>9333</v>
      </c>
      <c r="S11" s="565">
        <f aca="true" t="shared" si="1" ref="S11:S44">(((J11+K11))/I11)*100</f>
        <v>66.94765465669612</v>
      </c>
      <c r="T11" s="510">
        <f>+I11/H11</f>
        <v>0.7669047494916845</v>
      </c>
      <c r="U11" s="511">
        <f>+R11-Q11</f>
        <v>4862</v>
      </c>
      <c r="V11" s="513">
        <f aca="true" t="shared" si="2" ref="V11:V25">+C11-(F11+G11+H11)</f>
        <v>-12</v>
      </c>
      <c r="W11" s="514">
        <f aca="true" t="shared" si="3" ref="W11:W42">+L11+M11+N11+O11+P11+Q11</f>
        <v>9333</v>
      </c>
      <c r="X11" s="514" t="str">
        <f aca="true" t="shared" si="4" ref="X11:X58">+IF(W11=R11,"Đ","S")</f>
        <v>Đ</v>
      </c>
    </row>
    <row r="12" spans="1:24" ht="21.75" customHeight="1">
      <c r="A12" s="483" t="s">
        <v>0</v>
      </c>
      <c r="B12" s="556" t="s">
        <v>136</v>
      </c>
      <c r="C12" s="502">
        <f>+D12+E12</f>
        <v>542</v>
      </c>
      <c r="D12" s="502">
        <f aca="true" t="shared" si="5" ref="D12:R12">+D13+D14+D15+D16+D17+D18+D19+D20+D22+D21</f>
        <v>225</v>
      </c>
      <c r="E12" s="502">
        <f>+E13+E14+E15+E16+E17+E18+E19+E20+E22+E21</f>
        <v>317</v>
      </c>
      <c r="F12" s="502">
        <f t="shared" si="5"/>
        <v>1</v>
      </c>
      <c r="G12" s="502">
        <f t="shared" si="5"/>
        <v>6</v>
      </c>
      <c r="H12" s="502">
        <f t="shared" si="5"/>
        <v>541</v>
      </c>
      <c r="I12" s="502">
        <f t="shared" si="5"/>
        <v>398</v>
      </c>
      <c r="J12" s="502">
        <f t="shared" si="5"/>
        <v>220</v>
      </c>
      <c r="K12" s="502">
        <f t="shared" si="5"/>
        <v>1</v>
      </c>
      <c r="L12" s="502">
        <f t="shared" si="5"/>
        <v>168</v>
      </c>
      <c r="M12" s="502">
        <f t="shared" si="5"/>
        <v>3</v>
      </c>
      <c r="N12" s="502">
        <f t="shared" si="5"/>
        <v>1</v>
      </c>
      <c r="O12" s="502">
        <f t="shared" si="5"/>
        <v>0</v>
      </c>
      <c r="P12" s="502">
        <f t="shared" si="5"/>
        <v>5</v>
      </c>
      <c r="Q12" s="502">
        <f t="shared" si="5"/>
        <v>143</v>
      </c>
      <c r="R12" s="502">
        <f t="shared" si="5"/>
        <v>320</v>
      </c>
      <c r="S12" s="557">
        <f t="shared" si="1"/>
        <v>55.527638190954775</v>
      </c>
      <c r="T12" s="510">
        <f aca="true" t="shared" si="6" ref="T12:T79">+I12/H12</f>
        <v>0.7356746765249538</v>
      </c>
      <c r="U12" s="511">
        <f aca="true" t="shared" si="7" ref="U12:U79">+R12-Q12</f>
        <v>177</v>
      </c>
      <c r="V12" s="513">
        <f t="shared" si="2"/>
        <v>-6</v>
      </c>
      <c r="W12" s="514">
        <f t="shared" si="3"/>
        <v>320</v>
      </c>
      <c r="X12" s="514" t="str">
        <f t="shared" si="4"/>
        <v>Đ</v>
      </c>
    </row>
    <row r="13" spans="1:24" ht="21.75" customHeight="1">
      <c r="A13" s="484" t="s">
        <v>43</v>
      </c>
      <c r="B13" s="501" t="s">
        <v>435</v>
      </c>
      <c r="C13" s="502">
        <f aca="true" t="shared" si="8" ref="C13:C22">+D13+E13</f>
        <v>4</v>
      </c>
      <c r="D13" s="522"/>
      <c r="E13" s="522">
        <v>4</v>
      </c>
      <c r="F13" s="522"/>
      <c r="G13" s="522"/>
      <c r="H13" s="502">
        <f aca="true" t="shared" si="9" ref="H13:H22">SUM(I13,Q13)</f>
        <v>4</v>
      </c>
      <c r="I13" s="502">
        <f aca="true" t="shared" si="10" ref="I13:I22">SUM(J13:P13)</f>
        <v>4</v>
      </c>
      <c r="J13" s="522">
        <v>4</v>
      </c>
      <c r="K13" s="522"/>
      <c r="L13" s="522"/>
      <c r="M13" s="522"/>
      <c r="N13" s="522"/>
      <c r="O13" s="522"/>
      <c r="P13" s="522"/>
      <c r="Q13" s="522"/>
      <c r="R13" s="503">
        <f>+Q13+P13+O13+N13+M13+L13</f>
        <v>0</v>
      </c>
      <c r="S13" s="504">
        <f t="shared" si="1"/>
        <v>100</v>
      </c>
      <c r="T13" s="510">
        <f t="shared" si="6"/>
        <v>1</v>
      </c>
      <c r="U13" s="511">
        <f t="shared" si="7"/>
        <v>0</v>
      </c>
      <c r="V13" s="513">
        <f t="shared" si="2"/>
        <v>0</v>
      </c>
      <c r="W13" s="514">
        <f t="shared" si="3"/>
        <v>0</v>
      </c>
      <c r="X13" s="514" t="str">
        <f t="shared" si="4"/>
        <v>Đ</v>
      </c>
    </row>
    <row r="14" spans="1:24" ht="21.75" customHeight="1">
      <c r="A14" s="484" t="s">
        <v>44</v>
      </c>
      <c r="B14" s="501" t="s">
        <v>509</v>
      </c>
      <c r="C14" s="502">
        <f t="shared" si="8"/>
        <v>3</v>
      </c>
      <c r="D14" s="522"/>
      <c r="E14" s="522">
        <v>3</v>
      </c>
      <c r="F14" s="522"/>
      <c r="G14" s="522"/>
      <c r="H14" s="502">
        <f t="shared" si="9"/>
        <v>3</v>
      </c>
      <c r="I14" s="502">
        <f t="shared" si="10"/>
        <v>3</v>
      </c>
      <c r="J14" s="522">
        <v>3</v>
      </c>
      <c r="K14" s="522"/>
      <c r="L14" s="522"/>
      <c r="M14" s="522"/>
      <c r="N14" s="522"/>
      <c r="O14" s="522"/>
      <c r="P14" s="522"/>
      <c r="Q14" s="522"/>
      <c r="R14" s="503">
        <f aca="true" t="shared" si="11" ref="R14:R22">+Q14+P14+O14+N14+M14+L14</f>
        <v>0</v>
      </c>
      <c r="S14" s="504">
        <f t="shared" si="1"/>
        <v>100</v>
      </c>
      <c r="T14" s="510">
        <f t="shared" si="6"/>
        <v>1</v>
      </c>
      <c r="U14" s="511">
        <f t="shared" si="7"/>
        <v>0</v>
      </c>
      <c r="V14" s="513">
        <f t="shared" si="2"/>
        <v>0</v>
      </c>
      <c r="W14" s="514">
        <f t="shared" si="3"/>
        <v>0</v>
      </c>
      <c r="X14" s="514" t="str">
        <f t="shared" si="4"/>
        <v>Đ</v>
      </c>
    </row>
    <row r="15" spans="1:24" ht="21.75" customHeight="1">
      <c r="A15" s="484" t="s">
        <v>49</v>
      </c>
      <c r="B15" s="501" t="s">
        <v>508</v>
      </c>
      <c r="C15" s="502">
        <f t="shared" si="8"/>
        <v>98</v>
      </c>
      <c r="D15" s="502">
        <v>43</v>
      </c>
      <c r="E15" s="522">
        <v>55</v>
      </c>
      <c r="F15" s="522">
        <v>1</v>
      </c>
      <c r="G15" s="522">
        <v>4</v>
      </c>
      <c r="H15" s="502">
        <f t="shared" si="9"/>
        <v>97</v>
      </c>
      <c r="I15" s="502">
        <f t="shared" si="10"/>
        <v>80</v>
      </c>
      <c r="J15" s="522">
        <v>38</v>
      </c>
      <c r="K15" s="522"/>
      <c r="L15" s="522">
        <v>37</v>
      </c>
      <c r="M15" s="522">
        <v>2</v>
      </c>
      <c r="N15" s="522">
        <v>1</v>
      </c>
      <c r="O15" s="522"/>
      <c r="P15" s="522">
        <v>2</v>
      </c>
      <c r="Q15" s="522">
        <v>17</v>
      </c>
      <c r="R15" s="503">
        <f t="shared" si="11"/>
        <v>59</v>
      </c>
      <c r="S15" s="504">
        <f t="shared" si="1"/>
        <v>47.5</v>
      </c>
      <c r="T15" s="510">
        <f t="shared" si="6"/>
        <v>0.8247422680412371</v>
      </c>
      <c r="U15" s="511">
        <f t="shared" si="7"/>
        <v>42</v>
      </c>
      <c r="V15" s="513">
        <f t="shared" si="2"/>
        <v>-4</v>
      </c>
      <c r="W15" s="514">
        <f t="shared" si="3"/>
        <v>59</v>
      </c>
      <c r="X15" s="514" t="str">
        <f t="shared" si="4"/>
        <v>Đ</v>
      </c>
    </row>
    <row r="16" spans="1:24" ht="21.75" customHeight="1">
      <c r="A16" s="484" t="s">
        <v>58</v>
      </c>
      <c r="B16" s="501" t="s">
        <v>507</v>
      </c>
      <c r="C16" s="502">
        <f t="shared" si="8"/>
        <v>46</v>
      </c>
      <c r="D16" s="502">
        <v>31</v>
      </c>
      <c r="E16" s="522">
        <v>15</v>
      </c>
      <c r="F16" s="522"/>
      <c r="G16" s="522"/>
      <c r="H16" s="502">
        <f t="shared" si="9"/>
        <v>46</v>
      </c>
      <c r="I16" s="502">
        <f t="shared" si="10"/>
        <v>35</v>
      </c>
      <c r="J16" s="522">
        <v>15</v>
      </c>
      <c r="K16" s="522"/>
      <c r="L16" s="522">
        <v>20</v>
      </c>
      <c r="M16" s="522"/>
      <c r="N16" s="522"/>
      <c r="O16" s="522"/>
      <c r="P16" s="522"/>
      <c r="Q16" s="522">
        <v>11</v>
      </c>
      <c r="R16" s="503">
        <f t="shared" si="11"/>
        <v>31</v>
      </c>
      <c r="S16" s="504">
        <f t="shared" si="1"/>
        <v>42.857142857142854</v>
      </c>
      <c r="T16" s="510">
        <f t="shared" si="6"/>
        <v>0.7608695652173914</v>
      </c>
      <c r="U16" s="511">
        <f t="shared" si="7"/>
        <v>20</v>
      </c>
      <c r="V16" s="513">
        <f>+C16-(F16+G16+H16)</f>
        <v>0</v>
      </c>
      <c r="W16" s="514">
        <f t="shared" si="3"/>
        <v>31</v>
      </c>
      <c r="X16" s="514" t="str">
        <f t="shared" si="4"/>
        <v>Đ</v>
      </c>
    </row>
    <row r="17" spans="1:24" ht="21.75" customHeight="1">
      <c r="A17" s="484" t="s">
        <v>59</v>
      </c>
      <c r="B17" s="505" t="s">
        <v>506</v>
      </c>
      <c r="C17" s="502">
        <f t="shared" si="8"/>
        <v>61</v>
      </c>
      <c r="D17" s="522">
        <v>31</v>
      </c>
      <c r="E17" s="522">
        <v>30</v>
      </c>
      <c r="F17" s="522"/>
      <c r="G17" s="522"/>
      <c r="H17" s="502">
        <f t="shared" si="9"/>
        <v>61</v>
      </c>
      <c r="I17" s="502">
        <f t="shared" si="10"/>
        <v>41</v>
      </c>
      <c r="J17" s="522">
        <v>16</v>
      </c>
      <c r="K17" s="522"/>
      <c r="L17" s="522">
        <v>23</v>
      </c>
      <c r="M17" s="522"/>
      <c r="N17" s="522"/>
      <c r="O17" s="522"/>
      <c r="P17" s="522">
        <v>2</v>
      </c>
      <c r="Q17" s="522">
        <v>20</v>
      </c>
      <c r="R17" s="503">
        <f t="shared" si="11"/>
        <v>45</v>
      </c>
      <c r="S17" s="504">
        <f t="shared" si="1"/>
        <v>39.02439024390244</v>
      </c>
      <c r="T17" s="510">
        <f t="shared" si="6"/>
        <v>0.6721311475409836</v>
      </c>
      <c r="U17" s="511">
        <f t="shared" si="7"/>
        <v>25</v>
      </c>
      <c r="V17" s="513">
        <f t="shared" si="2"/>
        <v>0</v>
      </c>
      <c r="W17" s="514">
        <f t="shared" si="3"/>
        <v>45</v>
      </c>
      <c r="X17" s="514" t="str">
        <f t="shared" si="4"/>
        <v>Đ</v>
      </c>
    </row>
    <row r="18" spans="1:24" ht="21.75" customHeight="1">
      <c r="A18" s="484" t="s">
        <v>60</v>
      </c>
      <c r="B18" s="501" t="s">
        <v>505</v>
      </c>
      <c r="C18" s="502">
        <f t="shared" si="8"/>
        <v>69</v>
      </c>
      <c r="D18" s="522">
        <v>23</v>
      </c>
      <c r="E18" s="522">
        <v>46</v>
      </c>
      <c r="F18" s="522"/>
      <c r="G18" s="522">
        <v>1</v>
      </c>
      <c r="H18" s="502">
        <f t="shared" si="9"/>
        <v>69</v>
      </c>
      <c r="I18" s="502">
        <f t="shared" si="10"/>
        <v>60</v>
      </c>
      <c r="J18" s="522">
        <v>40</v>
      </c>
      <c r="K18" s="522"/>
      <c r="L18" s="522">
        <v>19</v>
      </c>
      <c r="M18" s="522">
        <v>1</v>
      </c>
      <c r="N18" s="522"/>
      <c r="O18" s="522"/>
      <c r="P18" s="522"/>
      <c r="Q18" s="522">
        <v>9</v>
      </c>
      <c r="R18" s="503">
        <f t="shared" si="11"/>
        <v>29</v>
      </c>
      <c r="S18" s="504">
        <f t="shared" si="1"/>
        <v>66.66666666666666</v>
      </c>
      <c r="T18" s="510">
        <f t="shared" si="6"/>
        <v>0.8695652173913043</v>
      </c>
      <c r="U18" s="511">
        <f t="shared" si="7"/>
        <v>20</v>
      </c>
      <c r="V18" s="513">
        <f t="shared" si="2"/>
        <v>-1</v>
      </c>
      <c r="W18" s="514">
        <f t="shared" si="3"/>
        <v>29</v>
      </c>
      <c r="X18" s="514" t="str">
        <f t="shared" si="4"/>
        <v>Đ</v>
      </c>
    </row>
    <row r="19" spans="1:24" ht="21.75" customHeight="1">
      <c r="A19" s="484" t="s">
        <v>61</v>
      </c>
      <c r="B19" s="501" t="s">
        <v>504</v>
      </c>
      <c r="C19" s="502">
        <f t="shared" si="8"/>
        <v>111</v>
      </c>
      <c r="D19" s="522">
        <v>27</v>
      </c>
      <c r="E19" s="522">
        <v>84</v>
      </c>
      <c r="F19" s="522"/>
      <c r="G19" s="522"/>
      <c r="H19" s="502">
        <f t="shared" si="9"/>
        <v>111</v>
      </c>
      <c r="I19" s="502">
        <f t="shared" si="10"/>
        <v>71</v>
      </c>
      <c r="J19" s="522">
        <v>47</v>
      </c>
      <c r="K19" s="522"/>
      <c r="L19" s="522">
        <v>24</v>
      </c>
      <c r="M19" s="522"/>
      <c r="N19" s="522"/>
      <c r="O19" s="522"/>
      <c r="P19" s="522"/>
      <c r="Q19" s="522">
        <v>40</v>
      </c>
      <c r="R19" s="503">
        <f t="shared" si="11"/>
        <v>64</v>
      </c>
      <c r="S19" s="504">
        <f t="shared" si="1"/>
        <v>66.19718309859155</v>
      </c>
      <c r="T19" s="510">
        <f t="shared" si="6"/>
        <v>0.6396396396396397</v>
      </c>
      <c r="U19" s="511">
        <f t="shared" si="7"/>
        <v>24</v>
      </c>
      <c r="V19" s="513">
        <f t="shared" si="2"/>
        <v>0</v>
      </c>
      <c r="W19" s="514">
        <f t="shared" si="3"/>
        <v>64</v>
      </c>
      <c r="X19" s="514" t="str">
        <f t="shared" si="4"/>
        <v>Đ</v>
      </c>
    </row>
    <row r="20" spans="1:24" ht="21.75" customHeight="1">
      <c r="A20" s="484" t="s">
        <v>62</v>
      </c>
      <c r="B20" s="501" t="s">
        <v>567</v>
      </c>
      <c r="C20" s="502">
        <f t="shared" si="8"/>
        <v>81</v>
      </c>
      <c r="D20" s="522">
        <v>35</v>
      </c>
      <c r="E20" s="522">
        <v>46</v>
      </c>
      <c r="F20" s="522"/>
      <c r="G20" s="522"/>
      <c r="H20" s="502">
        <f t="shared" si="9"/>
        <v>81</v>
      </c>
      <c r="I20" s="502">
        <f t="shared" si="10"/>
        <v>61</v>
      </c>
      <c r="J20" s="522">
        <v>34</v>
      </c>
      <c r="K20" s="522">
        <v>1</v>
      </c>
      <c r="L20" s="522">
        <v>25</v>
      </c>
      <c r="M20" s="522"/>
      <c r="N20" s="522"/>
      <c r="O20" s="522"/>
      <c r="P20" s="522">
        <v>1</v>
      </c>
      <c r="Q20" s="522">
        <v>20</v>
      </c>
      <c r="R20" s="503">
        <f t="shared" si="11"/>
        <v>46</v>
      </c>
      <c r="S20" s="504">
        <f t="shared" si="1"/>
        <v>57.377049180327866</v>
      </c>
      <c r="T20" s="510">
        <f t="shared" si="6"/>
        <v>0.7530864197530864</v>
      </c>
      <c r="U20" s="511">
        <f t="shared" si="7"/>
        <v>26</v>
      </c>
      <c r="V20" s="513">
        <f t="shared" si="2"/>
        <v>0</v>
      </c>
      <c r="W20" s="514">
        <f t="shared" si="3"/>
        <v>46</v>
      </c>
      <c r="X20" s="514" t="str">
        <f t="shared" si="4"/>
        <v>Đ</v>
      </c>
    </row>
    <row r="21" spans="1:24" ht="21.75" customHeight="1">
      <c r="A21" s="484" t="s">
        <v>63</v>
      </c>
      <c r="B21" s="501" t="s">
        <v>565</v>
      </c>
      <c r="C21" s="502">
        <f t="shared" si="8"/>
        <v>62</v>
      </c>
      <c r="D21" s="522">
        <v>35</v>
      </c>
      <c r="E21" s="522">
        <v>27</v>
      </c>
      <c r="F21" s="522"/>
      <c r="G21" s="522">
        <v>1</v>
      </c>
      <c r="H21" s="502">
        <f t="shared" si="9"/>
        <v>62</v>
      </c>
      <c r="I21" s="502">
        <f t="shared" si="10"/>
        <v>36</v>
      </c>
      <c r="J21" s="522">
        <v>16</v>
      </c>
      <c r="K21" s="522"/>
      <c r="L21" s="522">
        <v>20</v>
      </c>
      <c r="M21" s="522"/>
      <c r="N21" s="522"/>
      <c r="O21" s="522"/>
      <c r="P21" s="522"/>
      <c r="Q21" s="522">
        <v>26</v>
      </c>
      <c r="R21" s="503">
        <f>+Q21+P21+O21+N21+M21+L21</f>
        <v>46</v>
      </c>
      <c r="S21" s="504">
        <f>(((J21+K21))/I21)*100</f>
        <v>44.44444444444444</v>
      </c>
      <c r="T21" s="510">
        <f>+I21/H21</f>
        <v>0.5806451612903226</v>
      </c>
      <c r="U21" s="511">
        <f>+R21-Q21</f>
        <v>20</v>
      </c>
      <c r="V21" s="513">
        <f t="shared" si="2"/>
        <v>-1</v>
      </c>
      <c r="W21" s="514">
        <f t="shared" si="3"/>
        <v>46</v>
      </c>
      <c r="X21" s="514" t="str">
        <f t="shared" si="4"/>
        <v>Đ</v>
      </c>
    </row>
    <row r="22" spans="1:24" ht="21.75" customHeight="1">
      <c r="A22" s="484" t="s">
        <v>83</v>
      </c>
      <c r="B22" s="501" t="s">
        <v>568</v>
      </c>
      <c r="C22" s="502">
        <f t="shared" si="8"/>
        <v>7</v>
      </c>
      <c r="D22" s="522"/>
      <c r="E22" s="522">
        <v>7</v>
      </c>
      <c r="F22" s="522"/>
      <c r="G22" s="522"/>
      <c r="H22" s="502">
        <f t="shared" si="9"/>
        <v>7</v>
      </c>
      <c r="I22" s="502">
        <f t="shared" si="10"/>
        <v>7</v>
      </c>
      <c r="J22" s="522">
        <v>7</v>
      </c>
      <c r="K22" s="522"/>
      <c r="L22" s="522"/>
      <c r="M22" s="522"/>
      <c r="N22" s="522"/>
      <c r="O22" s="522"/>
      <c r="P22" s="522"/>
      <c r="Q22" s="522"/>
      <c r="R22" s="503">
        <f t="shared" si="11"/>
        <v>0</v>
      </c>
      <c r="S22" s="504">
        <f t="shared" si="1"/>
        <v>100</v>
      </c>
      <c r="T22" s="510">
        <f t="shared" si="6"/>
        <v>1</v>
      </c>
      <c r="U22" s="511">
        <f t="shared" si="7"/>
        <v>0</v>
      </c>
      <c r="V22" s="513">
        <f t="shared" si="2"/>
        <v>0</v>
      </c>
      <c r="W22" s="514">
        <f t="shared" si="3"/>
        <v>0</v>
      </c>
      <c r="X22" s="514" t="str">
        <f t="shared" si="4"/>
        <v>Đ</v>
      </c>
    </row>
    <row r="23" spans="1:24" ht="21.75" customHeight="1">
      <c r="A23" s="483" t="s">
        <v>1</v>
      </c>
      <c r="B23" s="556" t="s">
        <v>17</v>
      </c>
      <c r="C23" s="502">
        <f aca="true" t="shared" si="12" ref="C23:C32">+D23+E23</f>
        <v>18761</v>
      </c>
      <c r="D23" s="502">
        <f>SUM(D24,D33,D39,D44,D48,D54,D61,D68,D74)</f>
        <v>7304</v>
      </c>
      <c r="E23" s="502">
        <f>SUM(E24,E33,E39,E44,E48,E54,E61,E68,E74)</f>
        <v>11457</v>
      </c>
      <c r="F23" s="502">
        <f>SUM(F24,F33,F39,F44,F48,F54,F61,F68,F74)</f>
        <v>121</v>
      </c>
      <c r="G23" s="502">
        <f>SUM(G24,G33,G39,G44,G48,G54,G61,G68,G74)</f>
        <v>6</v>
      </c>
      <c r="H23" s="502">
        <f aca="true" t="shared" si="13" ref="H23:H32">SUM(I23,Q23)</f>
        <v>18640</v>
      </c>
      <c r="I23" s="502">
        <f aca="true" t="shared" si="14" ref="I23:I32">SUM(J23:P23)</f>
        <v>14312</v>
      </c>
      <c r="J23" s="502">
        <f aca="true" t="shared" si="15" ref="J23:R23">SUM(J24,J33,J39,J44,J48,J54,J61,J68,J74)</f>
        <v>9220</v>
      </c>
      <c r="K23" s="502">
        <f t="shared" si="15"/>
        <v>407</v>
      </c>
      <c r="L23" s="502">
        <f t="shared" si="15"/>
        <v>4635</v>
      </c>
      <c r="M23" s="502">
        <f t="shared" si="15"/>
        <v>31</v>
      </c>
      <c r="N23" s="502">
        <f t="shared" si="15"/>
        <v>1</v>
      </c>
      <c r="O23" s="502">
        <f t="shared" si="15"/>
        <v>0</v>
      </c>
      <c r="P23" s="502">
        <f t="shared" si="15"/>
        <v>18</v>
      </c>
      <c r="Q23" s="502">
        <f t="shared" si="15"/>
        <v>4328</v>
      </c>
      <c r="R23" s="502">
        <f t="shared" si="15"/>
        <v>9013</v>
      </c>
      <c r="S23" s="565">
        <f t="shared" si="1"/>
        <v>67.26523197316936</v>
      </c>
      <c r="T23" s="510">
        <f t="shared" si="6"/>
        <v>0.7678111587982832</v>
      </c>
      <c r="U23" s="511">
        <f t="shared" si="7"/>
        <v>4685</v>
      </c>
      <c r="V23" s="513">
        <f t="shared" si="2"/>
        <v>-6</v>
      </c>
      <c r="W23" s="514">
        <f t="shared" si="3"/>
        <v>9013</v>
      </c>
      <c r="X23" s="514" t="str">
        <f t="shared" si="4"/>
        <v>Đ</v>
      </c>
    </row>
    <row r="24" spans="1:24" ht="21.75" customHeight="1">
      <c r="A24" s="483" t="s">
        <v>43</v>
      </c>
      <c r="B24" s="556" t="s">
        <v>502</v>
      </c>
      <c r="C24" s="502">
        <f t="shared" si="12"/>
        <v>2038</v>
      </c>
      <c r="D24" s="502">
        <f>SUM(D25:D32)</f>
        <v>884</v>
      </c>
      <c r="E24" s="502">
        <f>SUM(E25:E32)</f>
        <v>1154</v>
      </c>
      <c r="F24" s="502">
        <f>SUM(F25:F32)</f>
        <v>24</v>
      </c>
      <c r="G24" s="502">
        <f>SUM(G25:G32)</f>
        <v>2</v>
      </c>
      <c r="H24" s="502">
        <f t="shared" si="13"/>
        <v>2014</v>
      </c>
      <c r="I24" s="502">
        <f t="shared" si="14"/>
        <v>1427</v>
      </c>
      <c r="J24" s="502">
        <f aca="true" t="shared" si="16" ref="J24:Q24">SUM(J25:J32)</f>
        <v>962</v>
      </c>
      <c r="K24" s="502">
        <f t="shared" si="16"/>
        <v>34</v>
      </c>
      <c r="L24" s="502">
        <f t="shared" si="16"/>
        <v>396</v>
      </c>
      <c r="M24" s="502">
        <f t="shared" si="16"/>
        <v>22</v>
      </c>
      <c r="N24" s="502">
        <f t="shared" si="16"/>
        <v>0</v>
      </c>
      <c r="O24" s="502">
        <f t="shared" si="16"/>
        <v>0</v>
      </c>
      <c r="P24" s="502">
        <f t="shared" si="16"/>
        <v>13</v>
      </c>
      <c r="Q24" s="502">
        <f t="shared" si="16"/>
        <v>587</v>
      </c>
      <c r="R24" s="503">
        <f aca="true" t="shared" si="17" ref="R24:R32">SUM(L24:Q24)</f>
        <v>1018</v>
      </c>
      <c r="S24" s="565">
        <f t="shared" si="1"/>
        <v>69.7967764540995</v>
      </c>
      <c r="T24" s="510">
        <f t="shared" si="6"/>
        <v>0.708540218470705</v>
      </c>
      <c r="U24" s="511">
        <f t="shared" si="7"/>
        <v>431</v>
      </c>
      <c r="V24" s="513">
        <f t="shared" si="2"/>
        <v>-2</v>
      </c>
      <c r="W24" s="514">
        <f t="shared" si="3"/>
        <v>1018</v>
      </c>
      <c r="X24" s="514" t="str">
        <f t="shared" si="4"/>
        <v>Đ</v>
      </c>
    </row>
    <row r="25" spans="1:24" ht="21.75" customHeight="1">
      <c r="A25" s="484" t="s">
        <v>45</v>
      </c>
      <c r="B25" s="497" t="s">
        <v>501</v>
      </c>
      <c r="C25" s="502">
        <f t="shared" si="12"/>
        <v>134</v>
      </c>
      <c r="D25" s="525">
        <v>44</v>
      </c>
      <c r="E25" s="553">
        <v>90</v>
      </c>
      <c r="F25" s="553">
        <v>2</v>
      </c>
      <c r="G25" s="566"/>
      <c r="H25" s="502">
        <f t="shared" si="13"/>
        <v>132</v>
      </c>
      <c r="I25" s="502">
        <f t="shared" si="14"/>
        <v>100</v>
      </c>
      <c r="J25" s="522">
        <v>75</v>
      </c>
      <c r="K25" s="522">
        <v>0</v>
      </c>
      <c r="L25" s="567">
        <v>24</v>
      </c>
      <c r="M25" s="568">
        <v>0</v>
      </c>
      <c r="N25" s="568">
        <v>0</v>
      </c>
      <c r="O25" s="568">
        <v>0</v>
      </c>
      <c r="P25" s="569">
        <v>1</v>
      </c>
      <c r="Q25" s="553">
        <v>32</v>
      </c>
      <c r="R25" s="503">
        <f t="shared" si="17"/>
        <v>57</v>
      </c>
      <c r="S25" s="504">
        <f t="shared" si="1"/>
        <v>75</v>
      </c>
      <c r="T25" s="510">
        <f t="shared" si="6"/>
        <v>0.7575757575757576</v>
      </c>
      <c r="U25" s="511">
        <f t="shared" si="7"/>
        <v>25</v>
      </c>
      <c r="V25" s="513">
        <f t="shared" si="2"/>
        <v>0</v>
      </c>
      <c r="W25" s="514">
        <f t="shared" si="3"/>
        <v>57</v>
      </c>
      <c r="X25" s="514" t="str">
        <f t="shared" si="4"/>
        <v>Đ</v>
      </c>
    </row>
    <row r="26" spans="1:24" ht="21.75" customHeight="1">
      <c r="A26" s="484" t="s">
        <v>46</v>
      </c>
      <c r="B26" s="496" t="s">
        <v>555</v>
      </c>
      <c r="C26" s="502">
        <f t="shared" si="12"/>
        <v>182</v>
      </c>
      <c r="D26" s="525">
        <v>88</v>
      </c>
      <c r="E26" s="553">
        <v>94</v>
      </c>
      <c r="F26" s="566">
        <v>3</v>
      </c>
      <c r="G26" s="566"/>
      <c r="H26" s="502">
        <f t="shared" si="13"/>
        <v>179</v>
      </c>
      <c r="I26" s="502">
        <f t="shared" si="14"/>
        <v>119</v>
      </c>
      <c r="J26" s="522">
        <v>79</v>
      </c>
      <c r="K26" s="553"/>
      <c r="L26" s="522">
        <v>31</v>
      </c>
      <c r="M26" s="522">
        <v>9</v>
      </c>
      <c r="N26" s="568">
        <v>0</v>
      </c>
      <c r="O26" s="568">
        <v>0</v>
      </c>
      <c r="P26" s="569">
        <v>0</v>
      </c>
      <c r="Q26" s="553">
        <v>60</v>
      </c>
      <c r="R26" s="503">
        <f t="shared" si="17"/>
        <v>100</v>
      </c>
      <c r="S26" s="504">
        <f t="shared" si="1"/>
        <v>66.38655462184873</v>
      </c>
      <c r="T26" s="510">
        <f t="shared" si="6"/>
        <v>0.664804469273743</v>
      </c>
      <c r="U26" s="511">
        <f t="shared" si="7"/>
        <v>40</v>
      </c>
      <c r="V26" s="513"/>
      <c r="W26" s="514">
        <f t="shared" si="3"/>
        <v>100</v>
      </c>
      <c r="X26" s="514" t="str">
        <f t="shared" si="4"/>
        <v>Đ</v>
      </c>
    </row>
    <row r="27" spans="1:24" ht="21.75" customHeight="1">
      <c r="A27" s="484" t="s">
        <v>104</v>
      </c>
      <c r="B27" s="495" t="s">
        <v>556</v>
      </c>
      <c r="C27" s="502">
        <f t="shared" si="12"/>
        <v>248</v>
      </c>
      <c r="D27" s="525">
        <v>103</v>
      </c>
      <c r="E27" s="553">
        <v>145</v>
      </c>
      <c r="F27" s="566">
        <v>0</v>
      </c>
      <c r="G27" s="566"/>
      <c r="H27" s="502">
        <f t="shared" si="13"/>
        <v>248</v>
      </c>
      <c r="I27" s="502">
        <f t="shared" si="14"/>
        <v>183</v>
      </c>
      <c r="J27" s="522">
        <v>127</v>
      </c>
      <c r="K27" s="553">
        <v>7</v>
      </c>
      <c r="L27" s="567">
        <v>48</v>
      </c>
      <c r="M27" s="569"/>
      <c r="N27" s="568">
        <v>0</v>
      </c>
      <c r="O27" s="568">
        <v>0</v>
      </c>
      <c r="P27" s="569">
        <v>1</v>
      </c>
      <c r="Q27" s="553">
        <v>65</v>
      </c>
      <c r="R27" s="503">
        <f t="shared" si="17"/>
        <v>114</v>
      </c>
      <c r="S27" s="504">
        <f t="shared" si="1"/>
        <v>73.224043715847</v>
      </c>
      <c r="T27" s="510">
        <f t="shared" si="6"/>
        <v>0.7379032258064516</v>
      </c>
      <c r="U27" s="511">
        <f t="shared" si="7"/>
        <v>49</v>
      </c>
      <c r="V27" s="513">
        <f aca="true" t="shared" si="18" ref="V27:V48">+C27-(F27+G27+H27)</f>
        <v>0</v>
      </c>
      <c r="W27" s="514">
        <f t="shared" si="3"/>
        <v>114</v>
      </c>
      <c r="X27" s="514" t="str">
        <f t="shared" si="4"/>
        <v>Đ</v>
      </c>
    </row>
    <row r="28" spans="1:24" ht="21.75" customHeight="1">
      <c r="A28" s="484" t="s">
        <v>106</v>
      </c>
      <c r="B28" s="495" t="s">
        <v>499</v>
      </c>
      <c r="C28" s="502">
        <f t="shared" si="12"/>
        <v>334</v>
      </c>
      <c r="D28" s="525">
        <v>157</v>
      </c>
      <c r="E28" s="553">
        <v>177</v>
      </c>
      <c r="F28" s="566">
        <v>7</v>
      </c>
      <c r="G28" s="566"/>
      <c r="H28" s="502">
        <f t="shared" si="13"/>
        <v>327</v>
      </c>
      <c r="I28" s="502">
        <f t="shared" si="14"/>
        <v>227</v>
      </c>
      <c r="J28" s="522">
        <v>154</v>
      </c>
      <c r="K28" s="553">
        <v>11</v>
      </c>
      <c r="L28" s="567">
        <v>50</v>
      </c>
      <c r="M28" s="569">
        <v>1</v>
      </c>
      <c r="N28" s="568"/>
      <c r="O28" s="568"/>
      <c r="P28" s="569">
        <v>11</v>
      </c>
      <c r="Q28" s="553">
        <v>100</v>
      </c>
      <c r="R28" s="503">
        <f t="shared" si="17"/>
        <v>162</v>
      </c>
      <c r="S28" s="504">
        <f t="shared" si="1"/>
        <v>72.68722466960352</v>
      </c>
      <c r="T28" s="510">
        <f t="shared" si="6"/>
        <v>0.6941896024464832</v>
      </c>
      <c r="U28" s="511">
        <f t="shared" si="7"/>
        <v>62</v>
      </c>
      <c r="V28" s="513">
        <f t="shared" si="18"/>
        <v>0</v>
      </c>
      <c r="W28" s="514">
        <f t="shared" si="3"/>
        <v>162</v>
      </c>
      <c r="X28" s="514" t="str">
        <f t="shared" si="4"/>
        <v>Đ</v>
      </c>
    </row>
    <row r="29" spans="1:24" ht="21.75" customHeight="1">
      <c r="A29" s="484" t="s">
        <v>107</v>
      </c>
      <c r="B29" s="495" t="s">
        <v>498</v>
      </c>
      <c r="C29" s="502">
        <f t="shared" si="12"/>
        <v>377</v>
      </c>
      <c r="D29" s="525">
        <v>176</v>
      </c>
      <c r="E29" s="553">
        <v>201</v>
      </c>
      <c r="F29" s="566">
        <v>1</v>
      </c>
      <c r="G29" s="566"/>
      <c r="H29" s="502">
        <f>SUM(I29,Q29)</f>
        <v>376</v>
      </c>
      <c r="I29" s="502">
        <f t="shared" si="14"/>
        <v>255</v>
      </c>
      <c r="J29" s="522">
        <v>173</v>
      </c>
      <c r="K29" s="553">
        <v>1</v>
      </c>
      <c r="L29" s="567">
        <v>81</v>
      </c>
      <c r="M29" s="569"/>
      <c r="N29" s="568"/>
      <c r="O29" s="568"/>
      <c r="P29" s="569">
        <v>0</v>
      </c>
      <c r="Q29" s="553">
        <v>121</v>
      </c>
      <c r="R29" s="503">
        <f t="shared" si="17"/>
        <v>202</v>
      </c>
      <c r="S29" s="504">
        <f t="shared" si="1"/>
        <v>68.23529411764706</v>
      </c>
      <c r="T29" s="510">
        <f>+I29/H29</f>
        <v>0.6781914893617021</v>
      </c>
      <c r="U29" s="511">
        <f t="shared" si="7"/>
        <v>81</v>
      </c>
      <c r="V29" s="513">
        <f t="shared" si="18"/>
        <v>0</v>
      </c>
      <c r="W29" s="514">
        <f t="shared" si="3"/>
        <v>202</v>
      </c>
      <c r="X29" s="514" t="str">
        <f t="shared" si="4"/>
        <v>Đ</v>
      </c>
    </row>
    <row r="30" spans="1:24" ht="21.75" customHeight="1">
      <c r="A30" s="484" t="s">
        <v>109</v>
      </c>
      <c r="B30" s="495" t="s">
        <v>540</v>
      </c>
      <c r="C30" s="502">
        <f t="shared" si="12"/>
        <v>332</v>
      </c>
      <c r="D30" s="525">
        <v>131</v>
      </c>
      <c r="E30" s="553">
        <v>201</v>
      </c>
      <c r="F30" s="566">
        <v>7</v>
      </c>
      <c r="G30" s="566">
        <v>2</v>
      </c>
      <c r="H30" s="502">
        <f>SUM(I30,Q30)</f>
        <v>325</v>
      </c>
      <c r="I30" s="502">
        <f t="shared" si="14"/>
        <v>247</v>
      </c>
      <c r="J30" s="522">
        <v>156</v>
      </c>
      <c r="K30" s="553">
        <v>6</v>
      </c>
      <c r="L30" s="567">
        <v>73</v>
      </c>
      <c r="M30" s="569">
        <v>12</v>
      </c>
      <c r="N30" s="568"/>
      <c r="O30" s="568"/>
      <c r="P30" s="569">
        <v>0</v>
      </c>
      <c r="Q30" s="553">
        <v>78</v>
      </c>
      <c r="R30" s="503">
        <f t="shared" si="17"/>
        <v>163</v>
      </c>
      <c r="S30" s="504">
        <f t="shared" si="1"/>
        <v>65.58704453441295</v>
      </c>
      <c r="T30" s="510">
        <f>+I30/H30</f>
        <v>0.76</v>
      </c>
      <c r="U30" s="511">
        <f t="shared" si="7"/>
        <v>85</v>
      </c>
      <c r="V30" s="513">
        <f t="shared" si="18"/>
        <v>-2</v>
      </c>
      <c r="W30" s="514">
        <f t="shared" si="3"/>
        <v>163</v>
      </c>
      <c r="X30" s="514" t="str">
        <f t="shared" si="4"/>
        <v>Đ</v>
      </c>
    </row>
    <row r="31" spans="1:24" ht="21.75" customHeight="1">
      <c r="A31" s="484" t="s">
        <v>110</v>
      </c>
      <c r="B31" s="495" t="s">
        <v>544</v>
      </c>
      <c r="C31" s="502">
        <f t="shared" si="12"/>
        <v>208</v>
      </c>
      <c r="D31" s="525">
        <v>80</v>
      </c>
      <c r="E31" s="553">
        <v>128</v>
      </c>
      <c r="F31" s="566">
        <v>2</v>
      </c>
      <c r="G31" s="566"/>
      <c r="H31" s="502">
        <f t="shared" si="13"/>
        <v>206</v>
      </c>
      <c r="I31" s="502">
        <f t="shared" si="14"/>
        <v>143</v>
      </c>
      <c r="J31" s="522">
        <v>91</v>
      </c>
      <c r="K31" s="553">
        <v>4</v>
      </c>
      <c r="L31" s="567">
        <v>48</v>
      </c>
      <c r="M31" s="569">
        <v>0</v>
      </c>
      <c r="N31" s="568"/>
      <c r="O31" s="568"/>
      <c r="P31" s="569"/>
      <c r="Q31" s="553">
        <v>63</v>
      </c>
      <c r="R31" s="503">
        <f t="shared" si="17"/>
        <v>111</v>
      </c>
      <c r="S31" s="504">
        <f t="shared" si="1"/>
        <v>66.43356643356644</v>
      </c>
      <c r="T31" s="510">
        <f t="shared" si="6"/>
        <v>0.6941747572815534</v>
      </c>
      <c r="U31" s="511">
        <f t="shared" si="7"/>
        <v>48</v>
      </c>
      <c r="V31" s="513">
        <f t="shared" si="18"/>
        <v>0</v>
      </c>
      <c r="W31" s="514">
        <f t="shared" si="3"/>
        <v>111</v>
      </c>
      <c r="X31" s="514" t="str">
        <f t="shared" si="4"/>
        <v>Đ</v>
      </c>
    </row>
    <row r="32" spans="1:24" ht="21.75" customHeight="1">
      <c r="A32" s="484" t="s">
        <v>123</v>
      </c>
      <c r="B32" s="496" t="s">
        <v>557</v>
      </c>
      <c r="C32" s="502">
        <f t="shared" si="12"/>
        <v>223</v>
      </c>
      <c r="D32" s="525">
        <v>105</v>
      </c>
      <c r="E32" s="553">
        <f>116+2</f>
        <v>118</v>
      </c>
      <c r="F32" s="566">
        <v>2</v>
      </c>
      <c r="G32" s="566"/>
      <c r="H32" s="502">
        <f t="shared" si="13"/>
        <v>221</v>
      </c>
      <c r="I32" s="502">
        <f t="shared" si="14"/>
        <v>153</v>
      </c>
      <c r="J32" s="522">
        <v>107</v>
      </c>
      <c r="K32" s="553">
        <v>5</v>
      </c>
      <c r="L32" s="567">
        <v>41</v>
      </c>
      <c r="M32" s="522"/>
      <c r="N32" s="568">
        <v>0</v>
      </c>
      <c r="O32" s="568">
        <v>0</v>
      </c>
      <c r="P32" s="569">
        <v>0</v>
      </c>
      <c r="Q32" s="553">
        <v>68</v>
      </c>
      <c r="R32" s="503">
        <f t="shared" si="17"/>
        <v>109</v>
      </c>
      <c r="S32" s="504">
        <f t="shared" si="1"/>
        <v>73.20261437908496</v>
      </c>
      <c r="T32" s="510">
        <f t="shared" si="6"/>
        <v>0.6923076923076923</v>
      </c>
      <c r="U32" s="511">
        <f t="shared" si="7"/>
        <v>41</v>
      </c>
      <c r="V32" s="513">
        <f t="shared" si="18"/>
        <v>0</v>
      </c>
      <c r="W32" s="514">
        <f t="shared" si="3"/>
        <v>109</v>
      </c>
      <c r="X32" s="514" t="str">
        <f t="shared" si="4"/>
        <v>Đ</v>
      </c>
    </row>
    <row r="33" spans="1:24" ht="21.75" customHeight="1">
      <c r="A33" s="483" t="s">
        <v>44</v>
      </c>
      <c r="B33" s="556" t="s">
        <v>497</v>
      </c>
      <c r="C33" s="502">
        <f>C34+C35+C36+C37+C38</f>
        <v>2765</v>
      </c>
      <c r="D33" s="502">
        <f aca="true" t="shared" si="19" ref="D33:R33">D34+D35+D36+D37+D38</f>
        <v>1103</v>
      </c>
      <c r="E33" s="502">
        <f t="shared" si="19"/>
        <v>1662</v>
      </c>
      <c r="F33" s="502">
        <f t="shared" si="19"/>
        <v>43</v>
      </c>
      <c r="G33" s="502">
        <f t="shared" si="19"/>
        <v>0</v>
      </c>
      <c r="H33" s="502">
        <f t="shared" si="19"/>
        <v>2722</v>
      </c>
      <c r="I33" s="502">
        <f t="shared" si="19"/>
        <v>2067</v>
      </c>
      <c r="J33" s="502">
        <f t="shared" si="19"/>
        <v>1323</v>
      </c>
      <c r="K33" s="502">
        <f t="shared" si="19"/>
        <v>25</v>
      </c>
      <c r="L33" s="502">
        <f t="shared" si="19"/>
        <v>719</v>
      </c>
      <c r="M33" s="502">
        <f t="shared" si="19"/>
        <v>0</v>
      </c>
      <c r="N33" s="502">
        <f t="shared" si="19"/>
        <v>0</v>
      </c>
      <c r="O33" s="502">
        <f t="shared" si="19"/>
        <v>0</v>
      </c>
      <c r="P33" s="502">
        <f t="shared" si="19"/>
        <v>0</v>
      </c>
      <c r="Q33" s="502">
        <f t="shared" si="19"/>
        <v>655</v>
      </c>
      <c r="R33" s="502">
        <f t="shared" si="19"/>
        <v>1374</v>
      </c>
      <c r="S33" s="504">
        <f t="shared" si="1"/>
        <v>65.21528785679729</v>
      </c>
      <c r="T33" s="510">
        <f t="shared" si="6"/>
        <v>0.7593681116825863</v>
      </c>
      <c r="U33" s="511">
        <f t="shared" si="7"/>
        <v>719</v>
      </c>
      <c r="V33" s="513">
        <f t="shared" si="18"/>
        <v>0</v>
      </c>
      <c r="W33" s="514">
        <f t="shared" si="3"/>
        <v>1374</v>
      </c>
      <c r="X33" s="514" t="str">
        <f t="shared" si="4"/>
        <v>Đ</v>
      </c>
    </row>
    <row r="34" spans="1:24" ht="21.75" customHeight="1">
      <c r="A34" s="484" t="s">
        <v>47</v>
      </c>
      <c r="B34" s="497" t="s">
        <v>542</v>
      </c>
      <c r="C34" s="502">
        <f>+D34+E34</f>
        <v>301</v>
      </c>
      <c r="D34" s="570">
        <v>92</v>
      </c>
      <c r="E34" s="570">
        <v>209</v>
      </c>
      <c r="F34" s="570">
        <v>8</v>
      </c>
      <c r="G34" s="570"/>
      <c r="H34" s="522">
        <f>I34+Q34</f>
        <v>293</v>
      </c>
      <c r="I34" s="502">
        <f>J34+K34+L34+M34+N34+O34+P34</f>
        <v>236</v>
      </c>
      <c r="J34" s="570">
        <v>176</v>
      </c>
      <c r="K34" s="570">
        <v>3</v>
      </c>
      <c r="L34" s="570">
        <v>57</v>
      </c>
      <c r="M34" s="570">
        <v>0</v>
      </c>
      <c r="N34" s="570"/>
      <c r="O34" s="570"/>
      <c r="P34" s="570">
        <v>0</v>
      </c>
      <c r="Q34" s="570">
        <v>57</v>
      </c>
      <c r="R34" s="571">
        <f>+Q34+P34+O34+N34+M34+L34</f>
        <v>114</v>
      </c>
      <c r="S34" s="504">
        <f t="shared" si="1"/>
        <v>75.84745762711864</v>
      </c>
      <c r="T34" s="510">
        <f t="shared" si="6"/>
        <v>0.8054607508532423</v>
      </c>
      <c r="U34" s="511">
        <f t="shared" si="7"/>
        <v>57</v>
      </c>
      <c r="V34" s="513">
        <f t="shared" si="18"/>
        <v>0</v>
      </c>
      <c r="W34" s="514">
        <f t="shared" si="3"/>
        <v>114</v>
      </c>
      <c r="X34" s="514" t="str">
        <f t="shared" si="4"/>
        <v>Đ</v>
      </c>
    </row>
    <row r="35" spans="1:24" ht="21.75" customHeight="1">
      <c r="A35" s="484" t="s">
        <v>48</v>
      </c>
      <c r="B35" s="496" t="s">
        <v>496</v>
      </c>
      <c r="C35" s="502">
        <f>+D35+E35</f>
        <v>667</v>
      </c>
      <c r="D35" s="570">
        <v>276</v>
      </c>
      <c r="E35" s="570">
        <v>391</v>
      </c>
      <c r="F35" s="570">
        <v>5</v>
      </c>
      <c r="G35" s="570"/>
      <c r="H35" s="502">
        <f>I35+Q35</f>
        <v>662</v>
      </c>
      <c r="I35" s="502">
        <f>J35+K35+L35+M35+N35+O35+P35</f>
        <v>491</v>
      </c>
      <c r="J35" s="570">
        <v>291</v>
      </c>
      <c r="K35" s="570">
        <v>2</v>
      </c>
      <c r="L35" s="570">
        <v>198</v>
      </c>
      <c r="M35" s="570"/>
      <c r="N35" s="570"/>
      <c r="O35" s="570"/>
      <c r="P35" s="570"/>
      <c r="Q35" s="570">
        <v>171</v>
      </c>
      <c r="R35" s="503">
        <f>+Q35+P35+O35+N35+M35+L35</f>
        <v>369</v>
      </c>
      <c r="S35" s="504">
        <f t="shared" si="1"/>
        <v>59.67413441955194</v>
      </c>
      <c r="T35" s="510">
        <f t="shared" si="6"/>
        <v>0.7416918429003021</v>
      </c>
      <c r="U35" s="511">
        <f t="shared" si="7"/>
        <v>198</v>
      </c>
      <c r="V35" s="513">
        <f t="shared" si="18"/>
        <v>0</v>
      </c>
      <c r="W35" s="514">
        <f t="shared" si="3"/>
        <v>369</v>
      </c>
      <c r="X35" s="514" t="str">
        <f t="shared" si="4"/>
        <v>Đ</v>
      </c>
    </row>
    <row r="36" spans="1:24" ht="21.75" customHeight="1">
      <c r="A36" s="484" t="s">
        <v>495</v>
      </c>
      <c r="B36" s="496" t="s">
        <v>500</v>
      </c>
      <c r="C36" s="502">
        <f>+D36+E36</f>
        <v>710</v>
      </c>
      <c r="D36" s="570">
        <v>275</v>
      </c>
      <c r="E36" s="570">
        <v>435</v>
      </c>
      <c r="F36" s="570">
        <v>4</v>
      </c>
      <c r="G36" s="570"/>
      <c r="H36" s="502">
        <f>I36+Q36</f>
        <v>706</v>
      </c>
      <c r="I36" s="502">
        <f>J36+K36+L36+M36+N36+O36+P36</f>
        <v>533</v>
      </c>
      <c r="J36" s="570">
        <v>353</v>
      </c>
      <c r="K36" s="570">
        <v>10</v>
      </c>
      <c r="L36" s="570">
        <v>170</v>
      </c>
      <c r="M36" s="570"/>
      <c r="N36" s="570"/>
      <c r="O36" s="570"/>
      <c r="P36" s="570">
        <v>0</v>
      </c>
      <c r="Q36" s="586">
        <v>173</v>
      </c>
      <c r="R36" s="503">
        <f>+Q36+P36+O36+N36+M36+L36</f>
        <v>343</v>
      </c>
      <c r="S36" s="504">
        <f t="shared" si="1"/>
        <v>68.10506566604127</v>
      </c>
      <c r="T36" s="510">
        <f t="shared" si="6"/>
        <v>0.7549575070821529</v>
      </c>
      <c r="U36" s="511">
        <f t="shared" si="7"/>
        <v>170</v>
      </c>
      <c r="V36" s="513">
        <f t="shared" si="18"/>
        <v>0</v>
      </c>
      <c r="W36" s="514">
        <f t="shared" si="3"/>
        <v>343</v>
      </c>
      <c r="X36" s="514" t="str">
        <f t="shared" si="4"/>
        <v>Đ</v>
      </c>
    </row>
    <row r="37" spans="1:24" ht="21.75" customHeight="1">
      <c r="A37" s="484" t="s">
        <v>493</v>
      </c>
      <c r="B37" s="496" t="s">
        <v>492</v>
      </c>
      <c r="C37" s="502">
        <f>+D37+E37</f>
        <v>561</v>
      </c>
      <c r="D37" s="570">
        <v>247</v>
      </c>
      <c r="E37" s="570">
        <v>314</v>
      </c>
      <c r="F37" s="570">
        <v>3</v>
      </c>
      <c r="G37" s="570"/>
      <c r="H37" s="502">
        <f>I37+Q37</f>
        <v>558</v>
      </c>
      <c r="I37" s="502">
        <f>J37+K37+L37+M37+N37+O37+P37</f>
        <v>383</v>
      </c>
      <c r="J37" s="570">
        <v>259</v>
      </c>
      <c r="K37" s="570">
        <v>5</v>
      </c>
      <c r="L37" s="570">
        <v>119</v>
      </c>
      <c r="M37" s="570"/>
      <c r="N37" s="570"/>
      <c r="O37" s="570"/>
      <c r="P37" s="570">
        <v>0</v>
      </c>
      <c r="Q37" s="587">
        <v>175</v>
      </c>
      <c r="R37" s="503">
        <f>+Q37+P37+O37+N37+M37+L37</f>
        <v>294</v>
      </c>
      <c r="S37" s="504">
        <f t="shared" si="1"/>
        <v>68.9295039164491</v>
      </c>
      <c r="T37" s="510">
        <f t="shared" si="6"/>
        <v>0.6863799283154122</v>
      </c>
      <c r="U37" s="511">
        <f t="shared" si="7"/>
        <v>119</v>
      </c>
      <c r="V37" s="513">
        <f t="shared" si="18"/>
        <v>0</v>
      </c>
      <c r="W37" s="514">
        <f t="shared" si="3"/>
        <v>294</v>
      </c>
      <c r="X37" s="514" t="str">
        <f t="shared" si="4"/>
        <v>Đ</v>
      </c>
    </row>
    <row r="38" spans="1:24" ht="21.75" customHeight="1">
      <c r="A38" s="484" t="s">
        <v>545</v>
      </c>
      <c r="B38" s="496" t="s">
        <v>546</v>
      </c>
      <c r="C38" s="502">
        <f>+D38+E38</f>
        <v>526</v>
      </c>
      <c r="D38" s="570">
        <v>213</v>
      </c>
      <c r="E38" s="570">
        <v>313</v>
      </c>
      <c r="F38" s="570">
        <v>23</v>
      </c>
      <c r="G38" s="570"/>
      <c r="H38" s="502">
        <f>I38+Q38</f>
        <v>503</v>
      </c>
      <c r="I38" s="502">
        <f>J38+K38+L38+M38+N38+O38+P38</f>
        <v>424</v>
      </c>
      <c r="J38" s="570">
        <v>244</v>
      </c>
      <c r="K38" s="570">
        <v>5</v>
      </c>
      <c r="L38" s="570">
        <v>175</v>
      </c>
      <c r="M38" s="570"/>
      <c r="N38" s="570"/>
      <c r="O38" s="570"/>
      <c r="P38" s="570">
        <v>0</v>
      </c>
      <c r="Q38" s="570">
        <v>79</v>
      </c>
      <c r="R38" s="503">
        <f>+Q38+P38+O38+N38+M38+L38</f>
        <v>254</v>
      </c>
      <c r="S38" s="504">
        <f t="shared" si="1"/>
        <v>58.72641509433962</v>
      </c>
      <c r="T38" s="510">
        <f t="shared" si="6"/>
        <v>0.8429423459244533</v>
      </c>
      <c r="U38" s="511">
        <f t="shared" si="7"/>
        <v>175</v>
      </c>
      <c r="V38" s="513">
        <f t="shared" si="18"/>
        <v>0</v>
      </c>
      <c r="W38" s="514">
        <f t="shared" si="3"/>
        <v>254</v>
      </c>
      <c r="X38" s="514" t="str">
        <f t="shared" si="4"/>
        <v>Đ</v>
      </c>
    </row>
    <row r="39" spans="1:24" ht="21.75" customHeight="1">
      <c r="A39" s="483" t="s">
        <v>49</v>
      </c>
      <c r="B39" s="556" t="s">
        <v>491</v>
      </c>
      <c r="C39" s="502">
        <f>C40+C41+C42+C43</f>
        <v>1420</v>
      </c>
      <c r="D39" s="502">
        <f aca="true" t="shared" si="20" ref="D39:R39">D40+D41+D42+D43</f>
        <v>556</v>
      </c>
      <c r="E39" s="502">
        <f t="shared" si="20"/>
        <v>864</v>
      </c>
      <c r="F39" s="502">
        <f t="shared" si="20"/>
        <v>14</v>
      </c>
      <c r="G39" s="502">
        <f t="shared" si="20"/>
        <v>0</v>
      </c>
      <c r="H39" s="502">
        <f t="shared" si="20"/>
        <v>1406</v>
      </c>
      <c r="I39" s="502">
        <f t="shared" si="20"/>
        <v>1037</v>
      </c>
      <c r="J39" s="502">
        <f t="shared" si="20"/>
        <v>654</v>
      </c>
      <c r="K39" s="502">
        <f t="shared" si="20"/>
        <v>5</v>
      </c>
      <c r="L39" s="502">
        <f t="shared" si="20"/>
        <v>371</v>
      </c>
      <c r="M39" s="502">
        <f t="shared" si="20"/>
        <v>3</v>
      </c>
      <c r="N39" s="502">
        <f t="shared" si="20"/>
        <v>0</v>
      </c>
      <c r="O39" s="502">
        <f t="shared" si="20"/>
        <v>0</v>
      </c>
      <c r="P39" s="502">
        <f t="shared" si="20"/>
        <v>4</v>
      </c>
      <c r="Q39" s="502">
        <f t="shared" si="20"/>
        <v>369</v>
      </c>
      <c r="R39" s="502">
        <f t="shared" si="20"/>
        <v>747</v>
      </c>
      <c r="S39" s="504">
        <f t="shared" si="1"/>
        <v>63.548698167791706</v>
      </c>
      <c r="T39" s="510">
        <f t="shared" si="6"/>
        <v>0.7375533428165008</v>
      </c>
      <c r="U39" s="511">
        <f t="shared" si="7"/>
        <v>378</v>
      </c>
      <c r="V39" s="513">
        <f t="shared" si="18"/>
        <v>0</v>
      </c>
      <c r="W39" s="514">
        <f t="shared" si="3"/>
        <v>747</v>
      </c>
      <c r="X39" s="514" t="str">
        <f t="shared" si="4"/>
        <v>Đ</v>
      </c>
    </row>
    <row r="40" spans="1:24" ht="21.75" customHeight="1">
      <c r="A40" s="484" t="s">
        <v>113</v>
      </c>
      <c r="B40" s="533" t="s">
        <v>490</v>
      </c>
      <c r="C40" s="502">
        <f aca="true" t="shared" si="21" ref="C40:C79">+D40+E40</f>
        <v>223</v>
      </c>
      <c r="D40" s="572">
        <v>101</v>
      </c>
      <c r="E40" s="572">
        <v>122</v>
      </c>
      <c r="F40" s="572">
        <v>0</v>
      </c>
      <c r="G40" s="522"/>
      <c r="H40" s="502">
        <f>I40+Q40</f>
        <v>223</v>
      </c>
      <c r="I40" s="502">
        <f>J40+K40+L40+M40+N40+O40+P40</f>
        <v>174</v>
      </c>
      <c r="J40" s="572">
        <v>92</v>
      </c>
      <c r="K40" s="572">
        <v>1</v>
      </c>
      <c r="L40" s="572">
        <v>81</v>
      </c>
      <c r="M40" s="572"/>
      <c r="N40" s="572"/>
      <c r="O40" s="572"/>
      <c r="P40" s="588"/>
      <c r="Q40" s="589">
        <v>49</v>
      </c>
      <c r="R40" s="503">
        <f>+Q40+P40+O40+N40+M40+L40</f>
        <v>130</v>
      </c>
      <c r="S40" s="504">
        <f t="shared" si="1"/>
        <v>53.44827586206896</v>
      </c>
      <c r="T40" s="510">
        <f t="shared" si="6"/>
        <v>0.7802690582959642</v>
      </c>
      <c r="U40" s="511">
        <f t="shared" si="7"/>
        <v>81</v>
      </c>
      <c r="V40" s="513">
        <f t="shared" si="18"/>
        <v>0</v>
      </c>
      <c r="W40" s="514">
        <f t="shared" si="3"/>
        <v>130</v>
      </c>
      <c r="X40" s="514" t="str">
        <f t="shared" si="4"/>
        <v>Đ</v>
      </c>
    </row>
    <row r="41" spans="1:24" ht="21.75" customHeight="1">
      <c r="A41" s="484" t="s">
        <v>114</v>
      </c>
      <c r="B41" s="533" t="s">
        <v>489</v>
      </c>
      <c r="C41" s="502">
        <f t="shared" si="21"/>
        <v>402</v>
      </c>
      <c r="D41" s="572">
        <v>124</v>
      </c>
      <c r="E41" s="572">
        <v>278</v>
      </c>
      <c r="F41" s="572">
        <v>7</v>
      </c>
      <c r="G41" s="522"/>
      <c r="H41" s="502">
        <f>I41+Q41</f>
        <v>395</v>
      </c>
      <c r="I41" s="502">
        <f>J41+K41+L41+M41+N41+O41+P41</f>
        <v>295</v>
      </c>
      <c r="J41" s="572">
        <v>187</v>
      </c>
      <c r="K41" s="572">
        <v>2</v>
      </c>
      <c r="L41" s="572">
        <v>106</v>
      </c>
      <c r="M41" s="572"/>
      <c r="N41" s="572"/>
      <c r="O41" s="572"/>
      <c r="P41" s="588"/>
      <c r="Q41" s="589">
        <v>100</v>
      </c>
      <c r="R41" s="503">
        <f>+Q41+P41+O41+N41+M41+L41</f>
        <v>206</v>
      </c>
      <c r="S41" s="504">
        <f t="shared" si="1"/>
        <v>64.0677966101695</v>
      </c>
      <c r="T41" s="510">
        <f t="shared" si="6"/>
        <v>0.7468354430379747</v>
      </c>
      <c r="U41" s="511">
        <f t="shared" si="7"/>
        <v>106</v>
      </c>
      <c r="V41" s="513">
        <f t="shared" si="18"/>
        <v>0</v>
      </c>
      <c r="W41" s="514">
        <f t="shared" si="3"/>
        <v>206</v>
      </c>
      <c r="X41" s="514" t="str">
        <f t="shared" si="4"/>
        <v>Đ</v>
      </c>
    </row>
    <row r="42" spans="1:24" ht="21.75" customHeight="1">
      <c r="A42" s="484" t="s">
        <v>115</v>
      </c>
      <c r="B42" s="533" t="s">
        <v>558</v>
      </c>
      <c r="C42" s="502">
        <f t="shared" si="21"/>
        <v>376</v>
      </c>
      <c r="D42" s="572">
        <v>129</v>
      </c>
      <c r="E42" s="572">
        <v>247</v>
      </c>
      <c r="F42" s="572">
        <v>7</v>
      </c>
      <c r="G42" s="522"/>
      <c r="H42" s="502">
        <f>I42+Q42</f>
        <v>369</v>
      </c>
      <c r="I42" s="502">
        <f>J42+K42+L42+M42+N42+O42+P42</f>
        <v>298</v>
      </c>
      <c r="J42" s="572">
        <v>197</v>
      </c>
      <c r="K42" s="572">
        <v>2</v>
      </c>
      <c r="L42" s="572">
        <v>95</v>
      </c>
      <c r="M42" s="572"/>
      <c r="N42" s="572"/>
      <c r="O42" s="572"/>
      <c r="P42" s="588">
        <v>4</v>
      </c>
      <c r="Q42" s="589">
        <v>71</v>
      </c>
      <c r="R42" s="503">
        <f>+Q42+P42+O42+N42+M42+L42</f>
        <v>170</v>
      </c>
      <c r="S42" s="504">
        <f t="shared" si="1"/>
        <v>66.77852348993288</v>
      </c>
      <c r="T42" s="510">
        <f t="shared" si="6"/>
        <v>0.8075880758807588</v>
      </c>
      <c r="U42" s="511">
        <f t="shared" si="7"/>
        <v>99</v>
      </c>
      <c r="V42" s="513">
        <f t="shared" si="18"/>
        <v>0</v>
      </c>
      <c r="W42" s="514">
        <f t="shared" si="3"/>
        <v>170</v>
      </c>
      <c r="X42" s="514" t="str">
        <f t="shared" si="4"/>
        <v>Đ</v>
      </c>
    </row>
    <row r="43" spans="1:24" ht="21.75" customHeight="1">
      <c r="A43" s="484" t="s">
        <v>488</v>
      </c>
      <c r="B43" s="534" t="s">
        <v>559</v>
      </c>
      <c r="C43" s="502">
        <f t="shared" si="21"/>
        <v>419</v>
      </c>
      <c r="D43" s="572">
        <v>202</v>
      </c>
      <c r="E43" s="572">
        <v>217</v>
      </c>
      <c r="F43" s="572">
        <v>0</v>
      </c>
      <c r="G43" s="522"/>
      <c r="H43" s="502">
        <f>I43+Q43</f>
        <v>419</v>
      </c>
      <c r="I43" s="502">
        <f>J43+K43+L43+M43+N43+O43+P43</f>
        <v>270</v>
      </c>
      <c r="J43" s="572">
        <v>178</v>
      </c>
      <c r="K43" s="572"/>
      <c r="L43" s="572">
        <v>89</v>
      </c>
      <c r="M43" s="572">
        <v>3</v>
      </c>
      <c r="N43" s="572"/>
      <c r="O43" s="572"/>
      <c r="P43" s="588"/>
      <c r="Q43" s="589">
        <v>149</v>
      </c>
      <c r="R43" s="503">
        <f>+Q43+P43+O43+N43+M43+L43</f>
        <v>241</v>
      </c>
      <c r="S43" s="504">
        <f t="shared" si="1"/>
        <v>65.92592592592592</v>
      </c>
      <c r="T43" s="510">
        <f t="shared" si="6"/>
        <v>0.6443914081145584</v>
      </c>
      <c r="U43" s="511">
        <f t="shared" si="7"/>
        <v>92</v>
      </c>
      <c r="V43" s="513">
        <f t="shared" si="18"/>
        <v>0</v>
      </c>
      <c r="W43" s="514">
        <f aca="true" t="shared" si="22" ref="W43:W79">+L43+M43+N43+O43+P43+Q43</f>
        <v>241</v>
      </c>
      <c r="X43" s="514" t="str">
        <f t="shared" si="4"/>
        <v>Đ</v>
      </c>
    </row>
    <row r="44" spans="1:24" ht="21.75" customHeight="1">
      <c r="A44" s="483" t="s">
        <v>58</v>
      </c>
      <c r="B44" s="556" t="s">
        <v>487</v>
      </c>
      <c r="C44" s="502">
        <f t="shared" si="21"/>
        <v>1283</v>
      </c>
      <c r="D44" s="502">
        <f>SUM(D45:D47)</f>
        <v>384</v>
      </c>
      <c r="E44" s="502">
        <f>SUM(E45:E47)</f>
        <v>899</v>
      </c>
      <c r="F44" s="502">
        <f>SUM(F45:F47)</f>
        <v>5</v>
      </c>
      <c r="G44" s="502">
        <f>SUM(G45:G47)</f>
        <v>0</v>
      </c>
      <c r="H44" s="502">
        <f aca="true" t="shared" si="23" ref="H44:H72">SUM(I44,Q44)</f>
        <v>1278</v>
      </c>
      <c r="I44" s="502">
        <f aca="true" t="shared" si="24" ref="I44:I72">SUM(J44:P44)</f>
        <v>1033</v>
      </c>
      <c r="J44" s="502">
        <f aca="true" t="shared" si="25" ref="J44:Q44">SUM(J45:J47)</f>
        <v>714</v>
      </c>
      <c r="K44" s="502">
        <f t="shared" si="25"/>
        <v>36</v>
      </c>
      <c r="L44" s="502">
        <f t="shared" si="25"/>
        <v>283</v>
      </c>
      <c r="M44" s="502">
        <f t="shared" si="25"/>
        <v>0</v>
      </c>
      <c r="N44" s="502">
        <f t="shared" si="25"/>
        <v>0</v>
      </c>
      <c r="O44" s="502">
        <f t="shared" si="25"/>
        <v>0</v>
      </c>
      <c r="P44" s="502">
        <f t="shared" si="25"/>
        <v>0</v>
      </c>
      <c r="Q44" s="502">
        <f t="shared" si="25"/>
        <v>245</v>
      </c>
      <c r="R44" s="503">
        <f aca="true" t="shared" si="26" ref="R44:R79">SUM(L44:Q44)</f>
        <v>528</v>
      </c>
      <c r="S44" s="565">
        <f t="shared" si="1"/>
        <v>72.60406582768636</v>
      </c>
      <c r="T44" s="510">
        <f t="shared" si="6"/>
        <v>0.8082942097026604</v>
      </c>
      <c r="U44" s="511">
        <f t="shared" si="7"/>
        <v>283</v>
      </c>
      <c r="V44" s="513">
        <f t="shared" si="18"/>
        <v>0</v>
      </c>
      <c r="W44" s="514">
        <f t="shared" si="22"/>
        <v>528</v>
      </c>
      <c r="X44" s="514" t="str">
        <f t="shared" si="4"/>
        <v>Đ</v>
      </c>
    </row>
    <row r="45" spans="1:24" ht="21.75" customHeight="1">
      <c r="A45" s="484" t="s">
        <v>116</v>
      </c>
      <c r="B45" s="501" t="s">
        <v>474</v>
      </c>
      <c r="C45" s="502">
        <f t="shared" si="21"/>
        <v>352</v>
      </c>
      <c r="D45" s="569">
        <v>101</v>
      </c>
      <c r="E45" s="568">
        <v>251</v>
      </c>
      <c r="F45" s="568"/>
      <c r="G45" s="568"/>
      <c r="H45" s="502">
        <f>+I45+Q45</f>
        <v>352</v>
      </c>
      <c r="I45" s="502">
        <f>+J45+K45+L45+M45+N45+O45+P45</f>
        <v>289</v>
      </c>
      <c r="J45" s="568">
        <v>208</v>
      </c>
      <c r="K45" s="568">
        <v>8</v>
      </c>
      <c r="L45" s="568">
        <v>73</v>
      </c>
      <c r="M45" s="568">
        <v>0</v>
      </c>
      <c r="N45" s="568">
        <v>0</v>
      </c>
      <c r="O45" s="568">
        <v>0</v>
      </c>
      <c r="P45" s="576">
        <v>0</v>
      </c>
      <c r="Q45" s="577">
        <v>63</v>
      </c>
      <c r="R45" s="503">
        <f t="shared" si="26"/>
        <v>136</v>
      </c>
      <c r="S45" s="504">
        <f aca="true" t="shared" si="27" ref="S45:S79">(((J45+K45))/I45)*100</f>
        <v>74.74048442906575</v>
      </c>
      <c r="T45" s="510">
        <f t="shared" si="6"/>
        <v>0.8210227272727273</v>
      </c>
      <c r="U45" s="511">
        <f t="shared" si="7"/>
        <v>73</v>
      </c>
      <c r="V45" s="513">
        <f t="shared" si="18"/>
        <v>0</v>
      </c>
      <c r="W45" s="514">
        <f t="shared" si="22"/>
        <v>136</v>
      </c>
      <c r="X45" s="514" t="str">
        <f t="shared" si="4"/>
        <v>Đ</v>
      </c>
    </row>
    <row r="46" spans="1:24" ht="21.75" customHeight="1">
      <c r="A46" s="484" t="s">
        <v>117</v>
      </c>
      <c r="B46" s="501" t="s">
        <v>486</v>
      </c>
      <c r="C46" s="502">
        <f t="shared" si="21"/>
        <v>457</v>
      </c>
      <c r="D46" s="569">
        <v>82</v>
      </c>
      <c r="E46" s="568">
        <v>375</v>
      </c>
      <c r="F46" s="569">
        <v>4</v>
      </c>
      <c r="G46" s="568"/>
      <c r="H46" s="502">
        <f>+I46+Q46</f>
        <v>453</v>
      </c>
      <c r="I46" s="502">
        <f>+J46+K46+L46+M46+N46+O46+P46</f>
        <v>399</v>
      </c>
      <c r="J46" s="568">
        <v>271</v>
      </c>
      <c r="K46" s="568">
        <v>13</v>
      </c>
      <c r="L46" s="568">
        <v>115</v>
      </c>
      <c r="M46" s="568">
        <v>0</v>
      </c>
      <c r="N46" s="568">
        <v>0</v>
      </c>
      <c r="O46" s="568">
        <v>0</v>
      </c>
      <c r="P46" s="576">
        <v>0</v>
      </c>
      <c r="Q46" s="577">
        <v>54</v>
      </c>
      <c r="R46" s="503">
        <f t="shared" si="26"/>
        <v>169</v>
      </c>
      <c r="S46" s="504">
        <f t="shared" si="27"/>
        <v>71.17794486215539</v>
      </c>
      <c r="T46" s="510">
        <f t="shared" si="6"/>
        <v>0.8807947019867549</v>
      </c>
      <c r="U46" s="511">
        <f t="shared" si="7"/>
        <v>115</v>
      </c>
      <c r="V46" s="513">
        <f t="shared" si="18"/>
        <v>0</v>
      </c>
      <c r="W46" s="514">
        <f t="shared" si="22"/>
        <v>169</v>
      </c>
      <c r="X46" s="514" t="str">
        <f t="shared" si="4"/>
        <v>Đ</v>
      </c>
    </row>
    <row r="47" spans="1:24" ht="21.75" customHeight="1">
      <c r="A47" s="484" t="s">
        <v>118</v>
      </c>
      <c r="B47" s="501" t="s">
        <v>543</v>
      </c>
      <c r="C47" s="502">
        <f t="shared" si="21"/>
        <v>474</v>
      </c>
      <c r="D47" s="569">
        <v>201</v>
      </c>
      <c r="E47" s="568">
        <v>273</v>
      </c>
      <c r="F47" s="569">
        <v>1</v>
      </c>
      <c r="G47" s="568"/>
      <c r="H47" s="502">
        <f>+I47+Q47</f>
        <v>473</v>
      </c>
      <c r="I47" s="502">
        <f>+J47+K47+L47+M47+N47+O47+P47</f>
        <v>345</v>
      </c>
      <c r="J47" s="568">
        <v>235</v>
      </c>
      <c r="K47" s="568">
        <v>15</v>
      </c>
      <c r="L47" s="568">
        <v>95</v>
      </c>
      <c r="M47" s="568">
        <v>0</v>
      </c>
      <c r="N47" s="568">
        <v>0</v>
      </c>
      <c r="O47" s="568">
        <v>0</v>
      </c>
      <c r="P47" s="576">
        <v>0</v>
      </c>
      <c r="Q47" s="577">
        <v>128</v>
      </c>
      <c r="R47" s="503">
        <f t="shared" si="26"/>
        <v>223</v>
      </c>
      <c r="S47" s="504">
        <f t="shared" si="27"/>
        <v>72.46376811594203</v>
      </c>
      <c r="T47" s="510">
        <f t="shared" si="6"/>
        <v>0.7293868921775899</v>
      </c>
      <c r="U47" s="511">
        <f t="shared" si="7"/>
        <v>95</v>
      </c>
      <c r="V47" s="513">
        <f t="shared" si="18"/>
        <v>0</v>
      </c>
      <c r="W47" s="514">
        <f t="shared" si="22"/>
        <v>223</v>
      </c>
      <c r="X47" s="514" t="str">
        <f t="shared" si="4"/>
        <v>Đ</v>
      </c>
    </row>
    <row r="48" spans="1:24" ht="21.75" customHeight="1">
      <c r="A48" s="483" t="s">
        <v>59</v>
      </c>
      <c r="B48" s="556" t="s">
        <v>485</v>
      </c>
      <c r="C48" s="502">
        <f t="shared" si="21"/>
        <v>1322</v>
      </c>
      <c r="D48" s="502">
        <f aca="true" t="shared" si="28" ref="D48:R48">SUM(D49:D53)</f>
        <v>449</v>
      </c>
      <c r="E48" s="502">
        <f t="shared" si="28"/>
        <v>873</v>
      </c>
      <c r="F48" s="502">
        <f t="shared" si="28"/>
        <v>11</v>
      </c>
      <c r="G48" s="502">
        <f t="shared" si="28"/>
        <v>0</v>
      </c>
      <c r="H48" s="502">
        <f t="shared" si="28"/>
        <v>1311</v>
      </c>
      <c r="I48" s="502">
        <f t="shared" si="28"/>
        <v>1009</v>
      </c>
      <c r="J48" s="502">
        <f t="shared" si="28"/>
        <v>735</v>
      </c>
      <c r="K48" s="502">
        <f t="shared" si="28"/>
        <v>19</v>
      </c>
      <c r="L48" s="502">
        <f t="shared" si="28"/>
        <v>252</v>
      </c>
      <c r="M48" s="502">
        <f t="shared" si="28"/>
        <v>3</v>
      </c>
      <c r="N48" s="502">
        <f t="shared" si="28"/>
        <v>0</v>
      </c>
      <c r="O48" s="502">
        <f t="shared" si="28"/>
        <v>0</v>
      </c>
      <c r="P48" s="502">
        <f t="shared" si="28"/>
        <v>0</v>
      </c>
      <c r="Q48" s="502">
        <f t="shared" si="28"/>
        <v>302</v>
      </c>
      <c r="R48" s="502">
        <f t="shared" si="28"/>
        <v>557</v>
      </c>
      <c r="S48" s="565">
        <f t="shared" si="27"/>
        <v>74.72745292368683</v>
      </c>
      <c r="T48" s="510">
        <f t="shared" si="6"/>
        <v>0.7696414950419527</v>
      </c>
      <c r="U48" s="511">
        <f t="shared" si="7"/>
        <v>255</v>
      </c>
      <c r="V48" s="513">
        <f t="shared" si="18"/>
        <v>0</v>
      </c>
      <c r="W48" s="514">
        <f t="shared" si="22"/>
        <v>557</v>
      </c>
      <c r="X48" s="514" t="str">
        <f t="shared" si="4"/>
        <v>Đ</v>
      </c>
    </row>
    <row r="49" spans="1:24" ht="21.75" customHeight="1">
      <c r="A49" s="508" t="s">
        <v>120</v>
      </c>
      <c r="B49" s="580" t="s">
        <v>572</v>
      </c>
      <c r="C49" s="502">
        <f t="shared" si="21"/>
        <v>303</v>
      </c>
      <c r="D49" s="590">
        <v>125</v>
      </c>
      <c r="E49" s="590">
        <v>178</v>
      </c>
      <c r="F49" s="590">
        <v>4</v>
      </c>
      <c r="G49" s="570"/>
      <c r="H49" s="502">
        <f>+I49+Q49</f>
        <v>299</v>
      </c>
      <c r="I49" s="502">
        <f>+J49+K49+L49+M49+N49+O49+P49</f>
        <v>203</v>
      </c>
      <c r="J49" s="590">
        <v>146</v>
      </c>
      <c r="K49" s="590">
        <v>9</v>
      </c>
      <c r="L49" s="590">
        <v>48</v>
      </c>
      <c r="M49" s="590">
        <v>0</v>
      </c>
      <c r="N49" s="590">
        <v>0</v>
      </c>
      <c r="O49" s="590">
        <v>0</v>
      </c>
      <c r="P49" s="590">
        <v>0</v>
      </c>
      <c r="Q49" s="590">
        <v>96</v>
      </c>
      <c r="R49" s="503">
        <f t="shared" si="26"/>
        <v>144</v>
      </c>
      <c r="S49" s="504">
        <f t="shared" si="27"/>
        <v>76.35467980295566</v>
      </c>
      <c r="T49" s="510">
        <f t="shared" si="6"/>
        <v>0.6789297658862876</v>
      </c>
      <c r="U49" s="511">
        <f t="shared" si="7"/>
        <v>48</v>
      </c>
      <c r="V49" s="513">
        <f aca="true" t="shared" si="29" ref="V49:V79">+C49-(F49+G49+H49)</f>
        <v>0</v>
      </c>
      <c r="W49" s="514">
        <f t="shared" si="22"/>
        <v>144</v>
      </c>
      <c r="X49" s="514" t="str">
        <f t="shared" si="4"/>
        <v>Đ</v>
      </c>
    </row>
    <row r="50" spans="1:24" ht="21.75" customHeight="1">
      <c r="A50" s="508" t="s">
        <v>121</v>
      </c>
      <c r="B50" s="580" t="s">
        <v>484</v>
      </c>
      <c r="C50" s="502">
        <f t="shared" si="21"/>
        <v>234</v>
      </c>
      <c r="D50" s="590">
        <v>48</v>
      </c>
      <c r="E50" s="590">
        <v>186</v>
      </c>
      <c r="F50" s="590">
        <v>0</v>
      </c>
      <c r="G50" s="570"/>
      <c r="H50" s="502">
        <f>+I50+Q50</f>
        <v>234</v>
      </c>
      <c r="I50" s="502">
        <f>+J50+K50+L50+M50+N50+O50+P50</f>
        <v>199</v>
      </c>
      <c r="J50" s="590">
        <v>151</v>
      </c>
      <c r="K50" s="590">
        <v>3</v>
      </c>
      <c r="L50" s="590">
        <v>45</v>
      </c>
      <c r="M50" s="590">
        <v>0</v>
      </c>
      <c r="N50" s="590">
        <v>0</v>
      </c>
      <c r="O50" s="590">
        <v>0</v>
      </c>
      <c r="P50" s="590">
        <v>0</v>
      </c>
      <c r="Q50" s="590">
        <v>35</v>
      </c>
      <c r="R50" s="503">
        <f t="shared" si="26"/>
        <v>80</v>
      </c>
      <c r="S50" s="504">
        <f t="shared" si="27"/>
        <v>77.38693467336684</v>
      </c>
      <c r="T50" s="510">
        <f t="shared" si="6"/>
        <v>0.8504273504273504</v>
      </c>
      <c r="U50" s="511">
        <f t="shared" si="7"/>
        <v>45</v>
      </c>
      <c r="V50" s="513">
        <f t="shared" si="29"/>
        <v>0</v>
      </c>
      <c r="W50" s="514">
        <f t="shared" si="22"/>
        <v>80</v>
      </c>
      <c r="X50" s="514" t="str">
        <f t="shared" si="4"/>
        <v>Đ</v>
      </c>
    </row>
    <row r="51" spans="1:24" ht="21.75" customHeight="1">
      <c r="A51" s="508" t="s">
        <v>122</v>
      </c>
      <c r="B51" s="580" t="s">
        <v>494</v>
      </c>
      <c r="C51" s="502">
        <f t="shared" si="21"/>
        <v>208</v>
      </c>
      <c r="D51" s="590">
        <v>61</v>
      </c>
      <c r="E51" s="590">
        <v>147</v>
      </c>
      <c r="F51" s="590">
        <v>1</v>
      </c>
      <c r="G51" s="570"/>
      <c r="H51" s="502">
        <f>+I51+Q51</f>
        <v>207</v>
      </c>
      <c r="I51" s="502">
        <f>+J51+K51+L51+M51+N51+O51+P51</f>
        <v>167</v>
      </c>
      <c r="J51" s="590">
        <v>127</v>
      </c>
      <c r="K51" s="590">
        <v>3</v>
      </c>
      <c r="L51" s="590">
        <v>36</v>
      </c>
      <c r="M51" s="590">
        <v>1</v>
      </c>
      <c r="N51" s="590">
        <v>0</v>
      </c>
      <c r="O51" s="590">
        <v>0</v>
      </c>
      <c r="P51" s="590">
        <v>0</v>
      </c>
      <c r="Q51" s="590">
        <v>40</v>
      </c>
      <c r="R51" s="503">
        <f t="shared" si="26"/>
        <v>77</v>
      </c>
      <c r="S51" s="504">
        <f t="shared" si="27"/>
        <v>77.84431137724552</v>
      </c>
      <c r="T51" s="510">
        <f t="shared" si="6"/>
        <v>0.8067632850241546</v>
      </c>
      <c r="U51" s="511">
        <f t="shared" si="7"/>
        <v>37</v>
      </c>
      <c r="V51" s="513">
        <f t="shared" si="29"/>
        <v>0</v>
      </c>
      <c r="W51" s="514">
        <f t="shared" si="22"/>
        <v>77</v>
      </c>
      <c r="X51" s="514" t="str">
        <f t="shared" si="4"/>
        <v>Đ</v>
      </c>
    </row>
    <row r="52" spans="1:24" ht="21.75" customHeight="1">
      <c r="A52" s="508" t="s">
        <v>483</v>
      </c>
      <c r="B52" s="580" t="s">
        <v>573</v>
      </c>
      <c r="C52" s="502">
        <f t="shared" si="21"/>
        <v>336</v>
      </c>
      <c r="D52" s="590">
        <v>137</v>
      </c>
      <c r="E52" s="590">
        <v>199</v>
      </c>
      <c r="F52" s="590">
        <v>1</v>
      </c>
      <c r="G52" s="570"/>
      <c r="H52" s="502">
        <f>+I52+Q52</f>
        <v>335</v>
      </c>
      <c r="I52" s="502">
        <f>+J52+K52+L52+M52+N52+O52+P52</f>
        <v>235</v>
      </c>
      <c r="J52" s="590">
        <v>155</v>
      </c>
      <c r="K52" s="590">
        <v>0</v>
      </c>
      <c r="L52" s="590">
        <v>78</v>
      </c>
      <c r="M52" s="590">
        <v>2</v>
      </c>
      <c r="N52" s="590">
        <v>0</v>
      </c>
      <c r="O52" s="590">
        <v>0</v>
      </c>
      <c r="P52" s="590">
        <v>0</v>
      </c>
      <c r="Q52" s="590">
        <v>100</v>
      </c>
      <c r="R52" s="503">
        <f t="shared" si="26"/>
        <v>180</v>
      </c>
      <c r="S52" s="504">
        <f t="shared" si="27"/>
        <v>65.95744680851064</v>
      </c>
      <c r="T52" s="510">
        <f t="shared" si="6"/>
        <v>0.7014925373134329</v>
      </c>
      <c r="U52" s="511">
        <f t="shared" si="7"/>
        <v>80</v>
      </c>
      <c r="V52" s="513">
        <f t="shared" si="29"/>
        <v>0</v>
      </c>
      <c r="W52" s="514">
        <f t="shared" si="22"/>
        <v>180</v>
      </c>
      <c r="X52" s="514" t="str">
        <f t="shared" si="4"/>
        <v>Đ</v>
      </c>
    </row>
    <row r="53" spans="1:24" ht="21.75" customHeight="1">
      <c r="A53" s="508" t="s">
        <v>541</v>
      </c>
      <c r="B53" s="580" t="s">
        <v>482</v>
      </c>
      <c r="C53" s="502">
        <f t="shared" si="21"/>
        <v>241</v>
      </c>
      <c r="D53" s="590">
        <v>78</v>
      </c>
      <c r="E53" s="590">
        <v>163</v>
      </c>
      <c r="F53" s="590">
        <v>5</v>
      </c>
      <c r="G53" s="570"/>
      <c r="H53" s="502">
        <f>+I53+Q53</f>
        <v>236</v>
      </c>
      <c r="I53" s="502">
        <f>+J53+K53+L53+M53+N53+O53+P53</f>
        <v>205</v>
      </c>
      <c r="J53" s="590">
        <v>156</v>
      </c>
      <c r="K53" s="590">
        <v>4</v>
      </c>
      <c r="L53" s="590">
        <v>45</v>
      </c>
      <c r="M53" s="590">
        <v>0</v>
      </c>
      <c r="N53" s="590">
        <v>0</v>
      </c>
      <c r="O53" s="590">
        <v>0</v>
      </c>
      <c r="P53" s="590">
        <v>0</v>
      </c>
      <c r="Q53" s="590">
        <v>31</v>
      </c>
      <c r="R53" s="503">
        <f t="shared" si="26"/>
        <v>76</v>
      </c>
      <c r="S53" s="504">
        <f t="shared" si="27"/>
        <v>78.04878048780488</v>
      </c>
      <c r="T53" s="510">
        <f t="shared" si="6"/>
        <v>0.8686440677966102</v>
      </c>
      <c r="U53" s="511">
        <f t="shared" si="7"/>
        <v>45</v>
      </c>
      <c r="V53" s="513">
        <f t="shared" si="29"/>
        <v>0</v>
      </c>
      <c r="W53" s="514">
        <f t="shared" si="22"/>
        <v>76</v>
      </c>
      <c r="X53" s="514" t="str">
        <f t="shared" si="4"/>
        <v>Đ</v>
      </c>
    </row>
    <row r="54" spans="1:24" ht="21.75" customHeight="1">
      <c r="A54" s="483" t="s">
        <v>60</v>
      </c>
      <c r="B54" s="556" t="s">
        <v>481</v>
      </c>
      <c r="C54" s="502">
        <f>+C55+C56+C57+C58+C59+C60</f>
        <v>2784</v>
      </c>
      <c r="D54" s="502">
        <f aca="true" t="shared" si="30" ref="D54:R54">+D55+D56+D57+D58+D59+D60</f>
        <v>1095</v>
      </c>
      <c r="E54" s="502">
        <f t="shared" si="30"/>
        <v>1689</v>
      </c>
      <c r="F54" s="502">
        <f t="shared" si="30"/>
        <v>3</v>
      </c>
      <c r="G54" s="502">
        <f t="shared" si="30"/>
        <v>0</v>
      </c>
      <c r="H54" s="502">
        <f t="shared" si="30"/>
        <v>2781</v>
      </c>
      <c r="I54" s="502">
        <f t="shared" si="30"/>
        <v>2227</v>
      </c>
      <c r="J54" s="502">
        <f t="shared" si="30"/>
        <v>1424</v>
      </c>
      <c r="K54" s="502">
        <f t="shared" si="30"/>
        <v>99</v>
      </c>
      <c r="L54" s="502">
        <f t="shared" si="30"/>
        <v>704</v>
      </c>
      <c r="M54" s="502">
        <f t="shared" si="30"/>
        <v>0</v>
      </c>
      <c r="N54" s="502">
        <f t="shared" si="30"/>
        <v>0</v>
      </c>
      <c r="O54" s="502">
        <f t="shared" si="30"/>
        <v>0</v>
      </c>
      <c r="P54" s="502">
        <f t="shared" si="30"/>
        <v>0</v>
      </c>
      <c r="Q54" s="502">
        <f t="shared" si="30"/>
        <v>554</v>
      </c>
      <c r="R54" s="502">
        <f t="shared" si="30"/>
        <v>1258</v>
      </c>
      <c r="S54" s="504">
        <f t="shared" si="27"/>
        <v>68.38796587337225</v>
      </c>
      <c r="T54" s="510">
        <f t="shared" si="6"/>
        <v>0.8007910823444804</v>
      </c>
      <c r="U54" s="511">
        <f t="shared" si="7"/>
        <v>704</v>
      </c>
      <c r="V54" s="513">
        <f t="shared" si="29"/>
        <v>0</v>
      </c>
      <c r="W54" s="514">
        <f t="shared" si="22"/>
        <v>1258</v>
      </c>
      <c r="X54" s="514" t="str">
        <f t="shared" si="4"/>
        <v>Đ</v>
      </c>
    </row>
    <row r="55" spans="1:24" ht="21.75" customHeight="1">
      <c r="A55" s="484" t="s">
        <v>480</v>
      </c>
      <c r="B55" s="498" t="s">
        <v>503</v>
      </c>
      <c r="C55" s="502">
        <f t="shared" si="21"/>
        <v>453</v>
      </c>
      <c r="D55" s="572">
        <v>146</v>
      </c>
      <c r="E55" s="572">
        <v>307</v>
      </c>
      <c r="F55" s="572">
        <v>0</v>
      </c>
      <c r="G55" s="522"/>
      <c r="H55" s="502">
        <f t="shared" si="23"/>
        <v>453</v>
      </c>
      <c r="I55" s="502">
        <f t="shared" si="24"/>
        <v>333</v>
      </c>
      <c r="J55" s="572">
        <v>228</v>
      </c>
      <c r="K55" s="572">
        <v>4</v>
      </c>
      <c r="L55" s="572">
        <v>101</v>
      </c>
      <c r="M55" s="572"/>
      <c r="N55" s="572"/>
      <c r="O55" s="572"/>
      <c r="P55" s="588"/>
      <c r="Q55" s="591">
        <v>120</v>
      </c>
      <c r="R55" s="503">
        <f t="shared" si="26"/>
        <v>221</v>
      </c>
      <c r="S55" s="504">
        <f t="shared" si="27"/>
        <v>69.66966966966966</v>
      </c>
      <c r="T55" s="510">
        <f t="shared" si="6"/>
        <v>0.7350993377483444</v>
      </c>
      <c r="U55" s="511">
        <f t="shared" si="7"/>
        <v>101</v>
      </c>
      <c r="V55" s="513">
        <f t="shared" si="29"/>
        <v>0</v>
      </c>
      <c r="W55" s="514">
        <f t="shared" si="22"/>
        <v>221</v>
      </c>
      <c r="X55" s="514" t="str">
        <f t="shared" si="4"/>
        <v>Đ</v>
      </c>
    </row>
    <row r="56" spans="1:24" ht="21.75" customHeight="1">
      <c r="A56" s="484" t="s">
        <v>479</v>
      </c>
      <c r="B56" s="498" t="s">
        <v>478</v>
      </c>
      <c r="C56" s="502">
        <f t="shared" si="21"/>
        <v>514</v>
      </c>
      <c r="D56" s="572">
        <v>260</v>
      </c>
      <c r="E56" s="572">
        <v>254</v>
      </c>
      <c r="F56" s="572"/>
      <c r="G56" s="522"/>
      <c r="H56" s="502">
        <f t="shared" si="23"/>
        <v>514</v>
      </c>
      <c r="I56" s="502">
        <f t="shared" si="24"/>
        <v>393</v>
      </c>
      <c r="J56" s="572">
        <v>232</v>
      </c>
      <c r="K56" s="572">
        <v>11</v>
      </c>
      <c r="L56" s="572">
        <v>150</v>
      </c>
      <c r="M56" s="572"/>
      <c r="N56" s="572"/>
      <c r="O56" s="572"/>
      <c r="P56" s="588"/>
      <c r="Q56" s="591">
        <v>121</v>
      </c>
      <c r="R56" s="503">
        <f t="shared" si="26"/>
        <v>271</v>
      </c>
      <c r="S56" s="504">
        <f t="shared" si="27"/>
        <v>61.832061068702295</v>
      </c>
      <c r="T56" s="510">
        <f t="shared" si="6"/>
        <v>0.7645914396887159</v>
      </c>
      <c r="U56" s="511">
        <f t="shared" si="7"/>
        <v>150</v>
      </c>
      <c r="V56" s="513">
        <f t="shared" si="29"/>
        <v>0</v>
      </c>
      <c r="W56" s="514">
        <f t="shared" si="22"/>
        <v>271</v>
      </c>
      <c r="X56" s="514" t="str">
        <f t="shared" si="4"/>
        <v>Đ</v>
      </c>
    </row>
    <row r="57" spans="1:24" ht="21.75" customHeight="1">
      <c r="A57" s="484" t="s">
        <v>477</v>
      </c>
      <c r="B57" s="498" t="s">
        <v>476</v>
      </c>
      <c r="C57" s="502">
        <f t="shared" si="21"/>
        <v>588</v>
      </c>
      <c r="D57" s="572">
        <v>289</v>
      </c>
      <c r="E57" s="572">
        <v>299</v>
      </c>
      <c r="F57" s="572"/>
      <c r="G57" s="522"/>
      <c r="H57" s="502">
        <f t="shared" si="23"/>
        <v>588</v>
      </c>
      <c r="I57" s="502">
        <f t="shared" si="24"/>
        <v>455</v>
      </c>
      <c r="J57" s="572">
        <v>256</v>
      </c>
      <c r="K57" s="572">
        <v>3</v>
      </c>
      <c r="L57" s="572">
        <v>196</v>
      </c>
      <c r="M57" s="572"/>
      <c r="N57" s="572"/>
      <c r="O57" s="572"/>
      <c r="P57" s="588"/>
      <c r="Q57" s="591">
        <v>133</v>
      </c>
      <c r="R57" s="503">
        <f t="shared" si="26"/>
        <v>329</v>
      </c>
      <c r="S57" s="504">
        <f t="shared" si="27"/>
        <v>56.92307692307692</v>
      </c>
      <c r="T57" s="510">
        <f t="shared" si="6"/>
        <v>0.7738095238095238</v>
      </c>
      <c r="U57" s="511">
        <f t="shared" si="7"/>
        <v>196</v>
      </c>
      <c r="V57" s="513">
        <f t="shared" si="29"/>
        <v>0</v>
      </c>
      <c r="W57" s="514">
        <f t="shared" si="22"/>
        <v>329</v>
      </c>
      <c r="X57" s="514" t="str">
        <f t="shared" si="4"/>
        <v>Đ</v>
      </c>
    </row>
    <row r="58" spans="1:24" ht="21.75" customHeight="1">
      <c r="A58" s="484" t="s">
        <v>475</v>
      </c>
      <c r="B58" s="498" t="s">
        <v>563</v>
      </c>
      <c r="C58" s="502">
        <f t="shared" si="21"/>
        <v>436</v>
      </c>
      <c r="D58" s="572">
        <v>164</v>
      </c>
      <c r="E58" s="572">
        <v>272</v>
      </c>
      <c r="F58" s="572">
        <v>1</v>
      </c>
      <c r="G58" s="522"/>
      <c r="H58" s="502">
        <f t="shared" si="23"/>
        <v>435</v>
      </c>
      <c r="I58" s="502">
        <f t="shared" si="24"/>
        <v>373</v>
      </c>
      <c r="J58" s="572">
        <v>249</v>
      </c>
      <c r="K58" s="572">
        <v>36</v>
      </c>
      <c r="L58" s="572">
        <v>88</v>
      </c>
      <c r="M58" s="572"/>
      <c r="N58" s="572"/>
      <c r="O58" s="572"/>
      <c r="P58" s="588"/>
      <c r="Q58" s="591">
        <v>62</v>
      </c>
      <c r="R58" s="503">
        <f t="shared" si="26"/>
        <v>150</v>
      </c>
      <c r="S58" s="504">
        <f t="shared" si="27"/>
        <v>76.40750670241286</v>
      </c>
      <c r="T58" s="510">
        <f t="shared" si="6"/>
        <v>0.8574712643678161</v>
      </c>
      <c r="U58" s="511">
        <f t="shared" si="7"/>
        <v>88</v>
      </c>
      <c r="V58" s="513">
        <f t="shared" si="29"/>
        <v>0</v>
      </c>
      <c r="W58" s="514">
        <f t="shared" si="22"/>
        <v>150</v>
      </c>
      <c r="X58" s="514" t="str">
        <f t="shared" si="4"/>
        <v>Đ</v>
      </c>
    </row>
    <row r="59" spans="1:24" ht="21.75" customHeight="1">
      <c r="A59" s="484" t="s">
        <v>473</v>
      </c>
      <c r="B59" s="498" t="s">
        <v>535</v>
      </c>
      <c r="C59" s="502">
        <f t="shared" si="21"/>
        <v>511</v>
      </c>
      <c r="D59" s="572">
        <v>126</v>
      </c>
      <c r="E59" s="572">
        <v>385</v>
      </c>
      <c r="F59" s="572"/>
      <c r="G59" s="522"/>
      <c r="H59" s="502">
        <f t="shared" si="23"/>
        <v>511</v>
      </c>
      <c r="I59" s="502">
        <f t="shared" si="24"/>
        <v>448</v>
      </c>
      <c r="J59" s="572">
        <v>302</v>
      </c>
      <c r="K59" s="572">
        <v>18</v>
      </c>
      <c r="L59" s="572">
        <v>128</v>
      </c>
      <c r="M59" s="572"/>
      <c r="N59" s="572"/>
      <c r="O59" s="572"/>
      <c r="P59" s="588"/>
      <c r="Q59" s="591">
        <v>63</v>
      </c>
      <c r="R59" s="503">
        <f t="shared" si="26"/>
        <v>191</v>
      </c>
      <c r="S59" s="504">
        <f t="shared" si="27"/>
        <v>71.42857142857143</v>
      </c>
      <c r="T59" s="510">
        <f t="shared" si="6"/>
        <v>0.8767123287671232</v>
      </c>
      <c r="U59" s="511">
        <f t="shared" si="7"/>
        <v>128</v>
      </c>
      <c r="V59" s="513">
        <f t="shared" si="29"/>
        <v>0</v>
      </c>
      <c r="W59" s="514">
        <f t="shared" si="22"/>
        <v>191</v>
      </c>
      <c r="X59" s="514" t="str">
        <f>+IF(W58=R58,"Đ","S")</f>
        <v>Đ</v>
      </c>
    </row>
    <row r="60" spans="1:24" ht="21.75" customHeight="1">
      <c r="A60" s="484" t="s">
        <v>539</v>
      </c>
      <c r="B60" s="529" t="s">
        <v>547</v>
      </c>
      <c r="C60" s="502">
        <f t="shared" si="21"/>
        <v>282</v>
      </c>
      <c r="D60" s="553">
        <v>110</v>
      </c>
      <c r="E60" s="568">
        <v>172</v>
      </c>
      <c r="F60" s="568">
        <v>2</v>
      </c>
      <c r="G60" s="553"/>
      <c r="H60" s="502">
        <f t="shared" si="23"/>
        <v>280</v>
      </c>
      <c r="I60" s="502">
        <f t="shared" si="24"/>
        <v>225</v>
      </c>
      <c r="J60" s="568">
        <v>157</v>
      </c>
      <c r="K60" s="568">
        <v>27</v>
      </c>
      <c r="L60" s="568">
        <v>41</v>
      </c>
      <c r="M60" s="522"/>
      <c r="N60" s="522"/>
      <c r="O60" s="522"/>
      <c r="P60" s="522"/>
      <c r="Q60" s="592">
        <v>55</v>
      </c>
      <c r="R60" s="503">
        <f t="shared" si="26"/>
        <v>96</v>
      </c>
      <c r="S60" s="504">
        <f t="shared" si="27"/>
        <v>81.77777777777779</v>
      </c>
      <c r="T60" s="510">
        <f t="shared" si="6"/>
        <v>0.8035714285714286</v>
      </c>
      <c r="U60" s="511">
        <f t="shared" si="7"/>
        <v>41</v>
      </c>
      <c r="V60" s="513">
        <f t="shared" si="29"/>
        <v>0</v>
      </c>
      <c r="W60" s="514">
        <f t="shared" si="22"/>
        <v>96</v>
      </c>
      <c r="X60" s="514" t="str">
        <f aca="true" t="shared" si="31" ref="X60:X79">+IF(W60=R60,"Đ","S")</f>
        <v>Đ</v>
      </c>
    </row>
    <row r="61" spans="1:24" ht="21.75" customHeight="1">
      <c r="A61" s="483" t="s">
        <v>61</v>
      </c>
      <c r="B61" s="556" t="s">
        <v>472</v>
      </c>
      <c r="C61" s="502">
        <f t="shared" si="21"/>
        <v>2677</v>
      </c>
      <c r="D61" s="502">
        <f>SUM(D62:D67)</f>
        <v>974</v>
      </c>
      <c r="E61" s="502">
        <f>SUM(E62:E67)</f>
        <v>1703</v>
      </c>
      <c r="F61" s="502">
        <f>SUM(F62:F67)</f>
        <v>4</v>
      </c>
      <c r="G61" s="502">
        <f>SUM(G62:G67)</f>
        <v>0</v>
      </c>
      <c r="H61" s="502">
        <f t="shared" si="23"/>
        <v>2673</v>
      </c>
      <c r="I61" s="502">
        <f t="shared" si="24"/>
        <v>2074</v>
      </c>
      <c r="J61" s="502">
        <f aca="true" t="shared" si="32" ref="J61:Q61">SUM(J62:J67)</f>
        <v>1398</v>
      </c>
      <c r="K61" s="502">
        <f t="shared" si="32"/>
        <v>69</v>
      </c>
      <c r="L61" s="502">
        <f t="shared" si="32"/>
        <v>605</v>
      </c>
      <c r="M61" s="502">
        <f t="shared" si="32"/>
        <v>1</v>
      </c>
      <c r="N61" s="502">
        <f t="shared" si="32"/>
        <v>0</v>
      </c>
      <c r="O61" s="502">
        <f t="shared" si="32"/>
        <v>0</v>
      </c>
      <c r="P61" s="502">
        <f t="shared" si="32"/>
        <v>1</v>
      </c>
      <c r="Q61" s="502">
        <f t="shared" si="32"/>
        <v>599</v>
      </c>
      <c r="R61" s="503">
        <f t="shared" si="26"/>
        <v>1206</v>
      </c>
      <c r="S61" s="565">
        <f t="shared" si="27"/>
        <v>70.73288331726133</v>
      </c>
      <c r="T61" s="510">
        <f t="shared" si="6"/>
        <v>0.7759072203516648</v>
      </c>
      <c r="U61" s="511">
        <f t="shared" si="7"/>
        <v>607</v>
      </c>
      <c r="V61" s="513">
        <f t="shared" si="29"/>
        <v>0</v>
      </c>
      <c r="W61" s="514">
        <f t="shared" si="22"/>
        <v>1206</v>
      </c>
      <c r="X61" s="514" t="str">
        <f t="shared" si="31"/>
        <v>Đ</v>
      </c>
    </row>
    <row r="62" spans="1:24" ht="21.75" customHeight="1">
      <c r="A62" s="484" t="s">
        <v>471</v>
      </c>
      <c r="B62" s="501" t="s">
        <v>470</v>
      </c>
      <c r="C62" s="502">
        <f t="shared" si="21"/>
        <v>272</v>
      </c>
      <c r="D62" s="522">
        <v>78</v>
      </c>
      <c r="E62" s="522">
        <v>194</v>
      </c>
      <c r="F62" s="522"/>
      <c r="G62" s="522"/>
      <c r="H62" s="502">
        <f t="shared" si="23"/>
        <v>272</v>
      </c>
      <c r="I62" s="502">
        <f t="shared" si="24"/>
        <v>248</v>
      </c>
      <c r="J62" s="522">
        <v>164</v>
      </c>
      <c r="K62" s="522">
        <v>22</v>
      </c>
      <c r="L62" s="522">
        <v>62</v>
      </c>
      <c r="M62" s="522"/>
      <c r="N62" s="522"/>
      <c r="O62" s="522"/>
      <c r="P62" s="522"/>
      <c r="Q62" s="522">
        <v>24</v>
      </c>
      <c r="R62" s="503">
        <f t="shared" si="26"/>
        <v>86</v>
      </c>
      <c r="S62" s="504">
        <f t="shared" si="27"/>
        <v>75</v>
      </c>
      <c r="T62" s="510">
        <f t="shared" si="6"/>
        <v>0.9117647058823529</v>
      </c>
      <c r="U62" s="511">
        <f t="shared" si="7"/>
        <v>62</v>
      </c>
      <c r="V62" s="513">
        <f t="shared" si="29"/>
        <v>0</v>
      </c>
      <c r="W62" s="514">
        <f t="shared" si="22"/>
        <v>86</v>
      </c>
      <c r="X62" s="514" t="str">
        <f t="shared" si="31"/>
        <v>Đ</v>
      </c>
    </row>
    <row r="63" spans="1:24" ht="21.75" customHeight="1">
      <c r="A63" s="484" t="s">
        <v>469</v>
      </c>
      <c r="B63" s="501" t="s">
        <v>468</v>
      </c>
      <c r="C63" s="502">
        <f t="shared" si="21"/>
        <v>548</v>
      </c>
      <c r="D63" s="522">
        <v>124</v>
      </c>
      <c r="E63" s="522">
        <v>424</v>
      </c>
      <c r="F63" s="522">
        <v>1</v>
      </c>
      <c r="G63" s="522"/>
      <c r="H63" s="502">
        <f t="shared" si="23"/>
        <v>547</v>
      </c>
      <c r="I63" s="502">
        <f t="shared" si="24"/>
        <v>485</v>
      </c>
      <c r="J63" s="522">
        <v>334</v>
      </c>
      <c r="K63" s="522">
        <v>15</v>
      </c>
      <c r="L63" s="522">
        <v>136</v>
      </c>
      <c r="M63" s="522"/>
      <c r="N63" s="522"/>
      <c r="O63" s="522"/>
      <c r="P63" s="522"/>
      <c r="Q63" s="522">
        <v>62</v>
      </c>
      <c r="R63" s="503">
        <f t="shared" si="26"/>
        <v>198</v>
      </c>
      <c r="S63" s="504">
        <f t="shared" si="27"/>
        <v>71.95876288659794</v>
      </c>
      <c r="T63" s="510">
        <f t="shared" si="6"/>
        <v>0.886654478976234</v>
      </c>
      <c r="U63" s="511">
        <f t="shared" si="7"/>
        <v>136</v>
      </c>
      <c r="V63" s="513">
        <f t="shared" si="29"/>
        <v>0</v>
      </c>
      <c r="W63" s="514">
        <f t="shared" si="22"/>
        <v>198</v>
      </c>
      <c r="X63" s="514" t="str">
        <f t="shared" si="31"/>
        <v>Đ</v>
      </c>
    </row>
    <row r="64" spans="1:24" ht="21.75" customHeight="1">
      <c r="A64" s="484" t="s">
        <v>467</v>
      </c>
      <c r="B64" s="501" t="s">
        <v>466</v>
      </c>
      <c r="C64" s="502">
        <f t="shared" si="21"/>
        <v>354</v>
      </c>
      <c r="D64" s="522">
        <v>75</v>
      </c>
      <c r="E64" s="522">
        <v>279</v>
      </c>
      <c r="F64" s="522">
        <v>1</v>
      </c>
      <c r="G64" s="522"/>
      <c r="H64" s="502">
        <f t="shared" si="23"/>
        <v>353</v>
      </c>
      <c r="I64" s="502">
        <f t="shared" si="24"/>
        <v>324</v>
      </c>
      <c r="J64" s="522">
        <v>215</v>
      </c>
      <c r="K64" s="522">
        <v>15</v>
      </c>
      <c r="L64" s="522">
        <v>93</v>
      </c>
      <c r="M64" s="522">
        <v>1</v>
      </c>
      <c r="N64" s="522"/>
      <c r="O64" s="522"/>
      <c r="P64" s="522"/>
      <c r="Q64" s="522">
        <v>29</v>
      </c>
      <c r="R64" s="503">
        <f t="shared" si="26"/>
        <v>123</v>
      </c>
      <c r="S64" s="504">
        <f t="shared" si="27"/>
        <v>70.98765432098766</v>
      </c>
      <c r="T64" s="510">
        <f t="shared" si="6"/>
        <v>0.9178470254957507</v>
      </c>
      <c r="U64" s="511">
        <f t="shared" si="7"/>
        <v>94</v>
      </c>
      <c r="V64" s="513">
        <f t="shared" si="29"/>
        <v>0</v>
      </c>
      <c r="W64" s="514">
        <f t="shared" si="22"/>
        <v>123</v>
      </c>
      <c r="X64" s="514" t="str">
        <f t="shared" si="31"/>
        <v>Đ</v>
      </c>
    </row>
    <row r="65" spans="1:24" ht="21.75" customHeight="1">
      <c r="A65" s="484" t="s">
        <v>465</v>
      </c>
      <c r="B65" s="501" t="s">
        <v>561</v>
      </c>
      <c r="C65" s="502">
        <f t="shared" si="21"/>
        <v>579</v>
      </c>
      <c r="D65" s="522">
        <v>334</v>
      </c>
      <c r="E65" s="522">
        <v>245</v>
      </c>
      <c r="F65" s="522">
        <v>2</v>
      </c>
      <c r="G65" s="522"/>
      <c r="H65" s="502">
        <f t="shared" si="23"/>
        <v>577</v>
      </c>
      <c r="I65" s="502">
        <f t="shared" si="24"/>
        <v>342</v>
      </c>
      <c r="J65" s="522">
        <v>222</v>
      </c>
      <c r="K65" s="522">
        <v>6</v>
      </c>
      <c r="L65" s="522">
        <v>114</v>
      </c>
      <c r="M65" s="522"/>
      <c r="N65" s="522"/>
      <c r="O65" s="522"/>
      <c r="P65" s="522"/>
      <c r="Q65" s="522">
        <v>235</v>
      </c>
      <c r="R65" s="503">
        <f t="shared" si="26"/>
        <v>349</v>
      </c>
      <c r="S65" s="504">
        <f t="shared" si="27"/>
        <v>66.66666666666666</v>
      </c>
      <c r="T65" s="510">
        <f t="shared" si="6"/>
        <v>0.5927209705372617</v>
      </c>
      <c r="U65" s="511">
        <f t="shared" si="7"/>
        <v>114</v>
      </c>
      <c r="V65" s="513">
        <f t="shared" si="29"/>
        <v>0</v>
      </c>
      <c r="W65" s="514">
        <f t="shared" si="22"/>
        <v>349</v>
      </c>
      <c r="X65" s="514" t="str">
        <f t="shared" si="31"/>
        <v>Đ</v>
      </c>
    </row>
    <row r="66" spans="1:24" ht="21.75" customHeight="1">
      <c r="A66" s="484" t="s">
        <v>463</v>
      </c>
      <c r="B66" s="501" t="s">
        <v>464</v>
      </c>
      <c r="C66" s="502">
        <f t="shared" si="21"/>
        <v>579</v>
      </c>
      <c r="D66" s="522">
        <v>280</v>
      </c>
      <c r="E66" s="522">
        <v>299</v>
      </c>
      <c r="F66" s="522"/>
      <c r="G66" s="522"/>
      <c r="H66" s="502">
        <f t="shared" si="23"/>
        <v>579</v>
      </c>
      <c r="I66" s="502">
        <f t="shared" si="24"/>
        <v>375</v>
      </c>
      <c r="J66" s="522">
        <v>242</v>
      </c>
      <c r="K66" s="522">
        <v>10</v>
      </c>
      <c r="L66" s="522">
        <v>122</v>
      </c>
      <c r="M66" s="522"/>
      <c r="N66" s="522"/>
      <c r="O66" s="522"/>
      <c r="P66" s="522">
        <v>1</v>
      </c>
      <c r="Q66" s="522">
        <v>204</v>
      </c>
      <c r="R66" s="503">
        <f t="shared" si="26"/>
        <v>327</v>
      </c>
      <c r="S66" s="504">
        <f t="shared" si="27"/>
        <v>67.2</v>
      </c>
      <c r="T66" s="510">
        <f t="shared" si="6"/>
        <v>0.6476683937823834</v>
      </c>
      <c r="U66" s="511">
        <f t="shared" si="7"/>
        <v>123</v>
      </c>
      <c r="V66" s="513">
        <f t="shared" si="29"/>
        <v>0</v>
      </c>
      <c r="W66" s="514">
        <f t="shared" si="22"/>
        <v>327</v>
      </c>
      <c r="X66" s="514" t="str">
        <f t="shared" si="31"/>
        <v>Đ</v>
      </c>
    </row>
    <row r="67" spans="1:24" ht="21.75" customHeight="1">
      <c r="A67" s="484" t="s">
        <v>560</v>
      </c>
      <c r="B67" s="501" t="s">
        <v>562</v>
      </c>
      <c r="C67" s="502">
        <f t="shared" si="21"/>
        <v>345</v>
      </c>
      <c r="D67" s="522">
        <v>83</v>
      </c>
      <c r="E67" s="522">
        <v>262</v>
      </c>
      <c r="F67" s="522"/>
      <c r="G67" s="522"/>
      <c r="H67" s="502">
        <f t="shared" si="23"/>
        <v>345</v>
      </c>
      <c r="I67" s="502">
        <f t="shared" si="24"/>
        <v>300</v>
      </c>
      <c r="J67" s="522">
        <v>221</v>
      </c>
      <c r="K67" s="522">
        <v>1</v>
      </c>
      <c r="L67" s="522">
        <v>78</v>
      </c>
      <c r="M67" s="522"/>
      <c r="N67" s="522"/>
      <c r="O67" s="522"/>
      <c r="P67" s="522"/>
      <c r="Q67" s="522">
        <v>45</v>
      </c>
      <c r="R67" s="503">
        <f t="shared" si="26"/>
        <v>123</v>
      </c>
      <c r="S67" s="504">
        <f t="shared" si="27"/>
        <v>74</v>
      </c>
      <c r="T67" s="510">
        <f t="shared" si="6"/>
        <v>0.8695652173913043</v>
      </c>
      <c r="U67" s="511">
        <f t="shared" si="7"/>
        <v>78</v>
      </c>
      <c r="V67" s="513">
        <f t="shared" si="29"/>
        <v>0</v>
      </c>
      <c r="W67" s="514">
        <f t="shared" si="22"/>
        <v>123</v>
      </c>
      <c r="X67" s="514" t="str">
        <f t="shared" si="31"/>
        <v>Đ</v>
      </c>
    </row>
    <row r="68" spans="1:24" ht="21.75" customHeight="1">
      <c r="A68" s="483" t="s">
        <v>62</v>
      </c>
      <c r="B68" s="556" t="s">
        <v>462</v>
      </c>
      <c r="C68" s="502">
        <f t="shared" si="21"/>
        <v>3081</v>
      </c>
      <c r="D68" s="502">
        <f>+D69+D70+D71+D72+D73</f>
        <v>1261</v>
      </c>
      <c r="E68" s="502">
        <f aca="true" t="shared" si="33" ref="E68:R68">+E69+E70+E71+E72+E73</f>
        <v>1820</v>
      </c>
      <c r="F68" s="502">
        <f t="shared" si="33"/>
        <v>7</v>
      </c>
      <c r="G68" s="502">
        <f t="shared" si="33"/>
        <v>0</v>
      </c>
      <c r="H68" s="502">
        <f t="shared" si="33"/>
        <v>3074</v>
      </c>
      <c r="I68" s="502">
        <f t="shared" si="33"/>
        <v>2384</v>
      </c>
      <c r="J68" s="502">
        <f t="shared" si="33"/>
        <v>1313</v>
      </c>
      <c r="K68" s="502">
        <f t="shared" si="33"/>
        <v>93</v>
      </c>
      <c r="L68" s="502">
        <f t="shared" si="33"/>
        <v>977</v>
      </c>
      <c r="M68" s="502">
        <f t="shared" si="33"/>
        <v>0</v>
      </c>
      <c r="N68" s="502">
        <f t="shared" si="33"/>
        <v>1</v>
      </c>
      <c r="O68" s="502">
        <f t="shared" si="33"/>
        <v>0</v>
      </c>
      <c r="P68" s="502">
        <f t="shared" si="33"/>
        <v>0</v>
      </c>
      <c r="Q68" s="502">
        <f t="shared" si="33"/>
        <v>690</v>
      </c>
      <c r="R68" s="502">
        <f t="shared" si="33"/>
        <v>1668</v>
      </c>
      <c r="S68" s="565">
        <f t="shared" si="27"/>
        <v>58.9765100671141</v>
      </c>
      <c r="T68" s="510">
        <f t="shared" si="6"/>
        <v>0.7755367599219258</v>
      </c>
      <c r="U68" s="511">
        <f t="shared" si="7"/>
        <v>978</v>
      </c>
      <c r="V68" s="513">
        <f t="shared" si="29"/>
        <v>0</v>
      </c>
      <c r="W68" s="514">
        <f t="shared" si="22"/>
        <v>1668</v>
      </c>
      <c r="X68" s="514" t="str">
        <f t="shared" si="31"/>
        <v>Đ</v>
      </c>
    </row>
    <row r="69" spans="1:24" ht="21.75" customHeight="1">
      <c r="A69" s="484" t="s">
        <v>461</v>
      </c>
      <c r="B69" s="593" t="s">
        <v>566</v>
      </c>
      <c r="C69" s="502">
        <f t="shared" si="21"/>
        <v>161</v>
      </c>
      <c r="D69" s="573">
        <v>44</v>
      </c>
      <c r="E69" s="573">
        <v>117</v>
      </c>
      <c r="F69" s="573">
        <v>1</v>
      </c>
      <c r="G69" s="570"/>
      <c r="H69" s="502">
        <f t="shared" si="23"/>
        <v>160</v>
      </c>
      <c r="I69" s="502">
        <f t="shared" si="24"/>
        <v>144</v>
      </c>
      <c r="J69" s="573">
        <v>106</v>
      </c>
      <c r="K69" s="573">
        <v>2</v>
      </c>
      <c r="L69" s="573">
        <v>36</v>
      </c>
      <c r="M69" s="573"/>
      <c r="N69" s="573">
        <v>0</v>
      </c>
      <c r="O69" s="573"/>
      <c r="P69" s="573"/>
      <c r="Q69" s="573">
        <v>16</v>
      </c>
      <c r="R69" s="503">
        <f>+Q69+P69+O69+M69+L69</f>
        <v>52</v>
      </c>
      <c r="S69" s="504">
        <f t="shared" si="27"/>
        <v>75</v>
      </c>
      <c r="T69" s="510">
        <f t="shared" si="6"/>
        <v>0.9</v>
      </c>
      <c r="U69" s="511">
        <f t="shared" si="7"/>
        <v>36</v>
      </c>
      <c r="V69" s="513">
        <f t="shared" si="29"/>
        <v>0</v>
      </c>
      <c r="W69" s="514">
        <f t="shared" si="22"/>
        <v>52</v>
      </c>
      <c r="X69" s="514" t="str">
        <f t="shared" si="31"/>
        <v>Đ</v>
      </c>
    </row>
    <row r="70" spans="1:24" ht="21.75" customHeight="1">
      <c r="A70" s="484" t="s">
        <v>460</v>
      </c>
      <c r="B70" s="594" t="s">
        <v>548</v>
      </c>
      <c r="C70" s="502">
        <f t="shared" si="21"/>
        <v>424</v>
      </c>
      <c r="D70" s="573">
        <v>238</v>
      </c>
      <c r="E70" s="573">
        <v>186</v>
      </c>
      <c r="F70" s="573">
        <v>0</v>
      </c>
      <c r="G70" s="570"/>
      <c r="H70" s="502">
        <f t="shared" si="23"/>
        <v>424</v>
      </c>
      <c r="I70" s="502">
        <f t="shared" si="24"/>
        <v>345</v>
      </c>
      <c r="J70" s="573">
        <v>139</v>
      </c>
      <c r="K70" s="573">
        <v>5</v>
      </c>
      <c r="L70" s="573">
        <v>201</v>
      </c>
      <c r="M70" s="573"/>
      <c r="N70" s="573"/>
      <c r="O70" s="573"/>
      <c r="P70" s="573"/>
      <c r="Q70" s="573">
        <v>79</v>
      </c>
      <c r="R70" s="503">
        <f>+Q70+P70+O70+M70+L70</f>
        <v>280</v>
      </c>
      <c r="S70" s="504">
        <f t="shared" si="27"/>
        <v>41.73913043478261</v>
      </c>
      <c r="T70" s="510">
        <f t="shared" si="6"/>
        <v>0.8136792452830188</v>
      </c>
      <c r="U70" s="511">
        <f t="shared" si="7"/>
        <v>201</v>
      </c>
      <c r="V70" s="513">
        <f t="shared" si="29"/>
        <v>0</v>
      </c>
      <c r="W70" s="514">
        <f t="shared" si="22"/>
        <v>280</v>
      </c>
      <c r="X70" s="514" t="str">
        <f t="shared" si="31"/>
        <v>Đ</v>
      </c>
    </row>
    <row r="71" spans="1:24" ht="21.75" customHeight="1">
      <c r="A71" s="484" t="s">
        <v>459</v>
      </c>
      <c r="B71" s="593" t="s">
        <v>550</v>
      </c>
      <c r="C71" s="502">
        <f t="shared" si="21"/>
        <v>673</v>
      </c>
      <c r="D71" s="573">
        <v>116</v>
      </c>
      <c r="E71" s="573">
        <v>557</v>
      </c>
      <c r="F71" s="573">
        <v>5</v>
      </c>
      <c r="G71" s="570"/>
      <c r="H71" s="502">
        <f t="shared" si="23"/>
        <v>668</v>
      </c>
      <c r="I71" s="502">
        <f t="shared" si="24"/>
        <v>647</v>
      </c>
      <c r="J71" s="573">
        <f>418</f>
        <v>418</v>
      </c>
      <c r="K71" s="573">
        <v>19</v>
      </c>
      <c r="L71" s="573">
        <f>210</f>
        <v>210</v>
      </c>
      <c r="M71" s="573"/>
      <c r="N71" s="573"/>
      <c r="O71" s="573"/>
      <c r="P71" s="573"/>
      <c r="Q71" s="573">
        <v>21</v>
      </c>
      <c r="R71" s="503">
        <f>+Q71+P71+O71+M71+L71</f>
        <v>231</v>
      </c>
      <c r="S71" s="504">
        <f t="shared" si="27"/>
        <v>67.54250386398763</v>
      </c>
      <c r="T71" s="510">
        <f t="shared" si="6"/>
        <v>0.968562874251497</v>
      </c>
      <c r="U71" s="511">
        <f t="shared" si="7"/>
        <v>210</v>
      </c>
      <c r="V71" s="513">
        <f t="shared" si="29"/>
        <v>0</v>
      </c>
      <c r="W71" s="514">
        <f t="shared" si="22"/>
        <v>231</v>
      </c>
      <c r="X71" s="514" t="str">
        <f t="shared" si="31"/>
        <v>Đ</v>
      </c>
    </row>
    <row r="72" spans="1:24" ht="21.75" customHeight="1">
      <c r="A72" s="484" t="s">
        <v>458</v>
      </c>
      <c r="B72" s="594" t="s">
        <v>549</v>
      </c>
      <c r="C72" s="502">
        <f t="shared" si="21"/>
        <v>1353</v>
      </c>
      <c r="D72" s="573">
        <v>676</v>
      </c>
      <c r="E72" s="573">
        <v>677</v>
      </c>
      <c r="F72" s="573">
        <v>1</v>
      </c>
      <c r="G72" s="570"/>
      <c r="H72" s="502">
        <f t="shared" si="23"/>
        <v>1352</v>
      </c>
      <c r="I72" s="502">
        <f t="shared" si="24"/>
        <v>892</v>
      </c>
      <c r="J72" s="585">
        <v>450</v>
      </c>
      <c r="K72" s="585">
        <v>57</v>
      </c>
      <c r="L72" s="585">
        <v>385</v>
      </c>
      <c r="M72" s="585"/>
      <c r="N72" s="585"/>
      <c r="O72" s="585"/>
      <c r="P72" s="585"/>
      <c r="Q72" s="585">
        <v>460</v>
      </c>
      <c r="R72" s="503">
        <f>+Q72+P72+O72+M72+L72</f>
        <v>845</v>
      </c>
      <c r="S72" s="504">
        <f t="shared" si="27"/>
        <v>56.83856502242153</v>
      </c>
      <c r="T72" s="510">
        <f t="shared" si="6"/>
        <v>0.6597633136094675</v>
      </c>
      <c r="U72" s="511">
        <f t="shared" si="7"/>
        <v>385</v>
      </c>
      <c r="V72" s="513">
        <f t="shared" si="29"/>
        <v>0</v>
      </c>
      <c r="W72" s="514">
        <f t="shared" si="22"/>
        <v>845</v>
      </c>
      <c r="X72" s="514" t="str">
        <f t="shared" si="31"/>
        <v>Đ</v>
      </c>
    </row>
    <row r="73" spans="1:24" ht="21.75" customHeight="1">
      <c r="A73" s="484" t="s">
        <v>456</v>
      </c>
      <c r="B73" s="537" t="s">
        <v>552</v>
      </c>
      <c r="C73" s="502">
        <f t="shared" si="21"/>
        <v>470</v>
      </c>
      <c r="D73" s="573">
        <v>187</v>
      </c>
      <c r="E73" s="573">
        <v>283</v>
      </c>
      <c r="F73" s="573">
        <v>0</v>
      </c>
      <c r="G73" s="570"/>
      <c r="H73" s="502">
        <f>+I73+Q73</f>
        <v>470</v>
      </c>
      <c r="I73" s="502">
        <f>+J73+K73+L73+M73+N73+O73+P73</f>
        <v>356</v>
      </c>
      <c r="J73" s="573">
        <v>200</v>
      </c>
      <c r="K73" s="573">
        <v>10</v>
      </c>
      <c r="L73" s="573">
        <v>145</v>
      </c>
      <c r="M73" s="595"/>
      <c r="N73" s="573">
        <v>1</v>
      </c>
      <c r="O73" s="595"/>
      <c r="P73" s="595"/>
      <c r="Q73" s="573">
        <v>114</v>
      </c>
      <c r="R73" s="503">
        <f>+Q73+P73+O73+N73+M73+L73</f>
        <v>260</v>
      </c>
      <c r="S73" s="504">
        <f t="shared" si="27"/>
        <v>58.98876404494382</v>
      </c>
      <c r="T73" s="510">
        <f t="shared" si="6"/>
        <v>0.7574468085106383</v>
      </c>
      <c r="U73" s="511">
        <f t="shared" si="7"/>
        <v>146</v>
      </c>
      <c r="V73" s="513">
        <f t="shared" si="29"/>
        <v>0</v>
      </c>
      <c r="W73" s="514">
        <f t="shared" si="22"/>
        <v>260</v>
      </c>
      <c r="X73" s="514" t="str">
        <f t="shared" si="31"/>
        <v>Đ</v>
      </c>
    </row>
    <row r="74" spans="1:24" ht="21.75" customHeight="1">
      <c r="A74" s="483" t="s">
        <v>63</v>
      </c>
      <c r="B74" s="556" t="s">
        <v>455</v>
      </c>
      <c r="C74" s="502">
        <f t="shared" si="21"/>
        <v>1391</v>
      </c>
      <c r="D74" s="502">
        <f>SUM(D75:D79)</f>
        <v>598</v>
      </c>
      <c r="E74" s="502">
        <f>SUM(E75:E79)</f>
        <v>793</v>
      </c>
      <c r="F74" s="502">
        <f>SUM(F75:F79)</f>
        <v>10</v>
      </c>
      <c r="G74" s="502">
        <f>SUM(G75:G79)</f>
        <v>4</v>
      </c>
      <c r="H74" s="502">
        <f aca="true" t="shared" si="34" ref="H74:H79">I74+Q74</f>
        <v>1381</v>
      </c>
      <c r="I74" s="502">
        <f aca="true" t="shared" si="35" ref="I74:Q74">SUM(I75:I79)</f>
        <v>1054</v>
      </c>
      <c r="J74" s="502">
        <f t="shared" si="35"/>
        <v>697</v>
      </c>
      <c r="K74" s="502">
        <f t="shared" si="35"/>
        <v>27</v>
      </c>
      <c r="L74" s="502">
        <f t="shared" si="35"/>
        <v>328</v>
      </c>
      <c r="M74" s="502">
        <f t="shared" si="35"/>
        <v>2</v>
      </c>
      <c r="N74" s="502">
        <f t="shared" si="35"/>
        <v>0</v>
      </c>
      <c r="O74" s="502">
        <f t="shared" si="35"/>
        <v>0</v>
      </c>
      <c r="P74" s="502">
        <f t="shared" si="35"/>
        <v>0</v>
      </c>
      <c r="Q74" s="502">
        <f t="shared" si="35"/>
        <v>327</v>
      </c>
      <c r="R74" s="503">
        <f t="shared" si="26"/>
        <v>657</v>
      </c>
      <c r="S74" s="565">
        <f t="shared" si="27"/>
        <v>68.69070208728652</v>
      </c>
      <c r="T74" s="510">
        <f t="shared" si="6"/>
        <v>0.7632150615496017</v>
      </c>
      <c r="U74" s="511">
        <f t="shared" si="7"/>
        <v>330</v>
      </c>
      <c r="V74" s="513">
        <f t="shared" si="29"/>
        <v>-4</v>
      </c>
      <c r="W74" s="514">
        <f t="shared" si="22"/>
        <v>657</v>
      </c>
      <c r="X74" s="514" t="str">
        <f t="shared" si="31"/>
        <v>Đ</v>
      </c>
    </row>
    <row r="75" spans="1:24" ht="21.75" customHeight="1">
      <c r="A75" s="484" t="s">
        <v>454</v>
      </c>
      <c r="B75" s="533" t="s">
        <v>453</v>
      </c>
      <c r="C75" s="502">
        <f t="shared" si="21"/>
        <v>113</v>
      </c>
      <c r="D75" s="574">
        <v>54</v>
      </c>
      <c r="E75" s="575">
        <v>59</v>
      </c>
      <c r="F75" s="575">
        <v>0</v>
      </c>
      <c r="G75" s="522"/>
      <c r="H75" s="502">
        <f t="shared" si="34"/>
        <v>113</v>
      </c>
      <c r="I75" s="502">
        <f>SUM(J75:P75)</f>
        <v>74</v>
      </c>
      <c r="J75" s="575">
        <v>53</v>
      </c>
      <c r="K75" s="575">
        <v>2</v>
      </c>
      <c r="L75" s="575">
        <v>19</v>
      </c>
      <c r="M75" s="575">
        <v>0</v>
      </c>
      <c r="N75" s="575"/>
      <c r="O75" s="575"/>
      <c r="P75" s="576">
        <v>0</v>
      </c>
      <c r="Q75" s="577">
        <v>39</v>
      </c>
      <c r="R75" s="503">
        <f t="shared" si="26"/>
        <v>58</v>
      </c>
      <c r="S75" s="504">
        <f t="shared" si="27"/>
        <v>74.32432432432432</v>
      </c>
      <c r="T75" s="510">
        <f t="shared" si="6"/>
        <v>0.6548672566371682</v>
      </c>
      <c r="U75" s="511">
        <f t="shared" si="7"/>
        <v>19</v>
      </c>
      <c r="V75" s="513">
        <f t="shared" si="29"/>
        <v>0</v>
      </c>
      <c r="W75" s="514">
        <f t="shared" si="22"/>
        <v>58</v>
      </c>
      <c r="X75" s="514" t="str">
        <f t="shared" si="31"/>
        <v>Đ</v>
      </c>
    </row>
    <row r="76" spans="1:24" ht="21.75" customHeight="1">
      <c r="A76" s="484" t="s">
        <v>452</v>
      </c>
      <c r="B76" s="533" t="s">
        <v>451</v>
      </c>
      <c r="C76" s="502">
        <f t="shared" si="21"/>
        <v>361</v>
      </c>
      <c r="D76" s="574">
        <v>160</v>
      </c>
      <c r="E76" s="575">
        <v>201</v>
      </c>
      <c r="F76" s="575">
        <v>4</v>
      </c>
      <c r="G76" s="522"/>
      <c r="H76" s="502">
        <f t="shared" si="34"/>
        <v>357</v>
      </c>
      <c r="I76" s="502">
        <f>SUM(J76:P76)</f>
        <v>270</v>
      </c>
      <c r="J76" s="575">
        <v>178</v>
      </c>
      <c r="K76" s="575">
        <v>3</v>
      </c>
      <c r="L76" s="575">
        <v>87</v>
      </c>
      <c r="M76" s="575">
        <v>2</v>
      </c>
      <c r="N76" s="575"/>
      <c r="O76" s="575"/>
      <c r="P76" s="576"/>
      <c r="Q76" s="577">
        <v>87</v>
      </c>
      <c r="R76" s="503">
        <f t="shared" si="26"/>
        <v>176</v>
      </c>
      <c r="S76" s="504">
        <f t="shared" si="27"/>
        <v>67.03703703703704</v>
      </c>
      <c r="T76" s="510">
        <f t="shared" si="6"/>
        <v>0.7563025210084033</v>
      </c>
      <c r="U76" s="511">
        <f t="shared" si="7"/>
        <v>89</v>
      </c>
      <c r="V76" s="513">
        <f t="shared" si="29"/>
        <v>0</v>
      </c>
      <c r="W76" s="514">
        <f t="shared" si="22"/>
        <v>176</v>
      </c>
      <c r="X76" s="514" t="str">
        <f t="shared" si="31"/>
        <v>Đ</v>
      </c>
    </row>
    <row r="77" spans="1:24" ht="21.75" customHeight="1">
      <c r="A77" s="484" t="s">
        <v>450</v>
      </c>
      <c r="B77" s="533" t="s">
        <v>554</v>
      </c>
      <c r="C77" s="502">
        <f t="shared" si="21"/>
        <v>370</v>
      </c>
      <c r="D77" s="574">
        <v>156</v>
      </c>
      <c r="E77" s="575">
        <v>214</v>
      </c>
      <c r="F77" s="575">
        <v>1</v>
      </c>
      <c r="G77" s="522"/>
      <c r="H77" s="502">
        <f t="shared" si="34"/>
        <v>369</v>
      </c>
      <c r="I77" s="502">
        <f>SUM(J77:P77)</f>
        <v>294</v>
      </c>
      <c r="J77" s="575">
        <v>204</v>
      </c>
      <c r="K77" s="575">
        <v>8</v>
      </c>
      <c r="L77" s="575">
        <v>82</v>
      </c>
      <c r="M77" s="575">
        <v>0</v>
      </c>
      <c r="N77" s="575"/>
      <c r="O77" s="575"/>
      <c r="P77" s="576">
        <v>0</v>
      </c>
      <c r="Q77" s="577">
        <v>75</v>
      </c>
      <c r="R77" s="503">
        <f t="shared" si="26"/>
        <v>157</v>
      </c>
      <c r="S77" s="504">
        <f t="shared" si="27"/>
        <v>72.10884353741497</v>
      </c>
      <c r="T77" s="510">
        <f t="shared" si="6"/>
        <v>0.7967479674796748</v>
      </c>
      <c r="U77" s="511">
        <f t="shared" si="7"/>
        <v>82</v>
      </c>
      <c r="V77" s="513">
        <f t="shared" si="29"/>
        <v>0</v>
      </c>
      <c r="W77" s="514">
        <f t="shared" si="22"/>
        <v>157</v>
      </c>
      <c r="X77" s="514" t="str">
        <f t="shared" si="31"/>
        <v>Đ</v>
      </c>
    </row>
    <row r="78" spans="1:24" ht="21.75" customHeight="1">
      <c r="A78" s="484" t="s">
        <v>449</v>
      </c>
      <c r="B78" s="533" t="s">
        <v>448</v>
      </c>
      <c r="C78" s="502">
        <f t="shared" si="21"/>
        <v>305</v>
      </c>
      <c r="D78" s="574">
        <v>128</v>
      </c>
      <c r="E78" s="575">
        <v>177</v>
      </c>
      <c r="F78" s="575">
        <v>4</v>
      </c>
      <c r="G78" s="578">
        <v>4</v>
      </c>
      <c r="H78" s="502">
        <f t="shared" si="34"/>
        <v>301</v>
      </c>
      <c r="I78" s="502">
        <f>SUM(J78:P78)</f>
        <v>231</v>
      </c>
      <c r="J78" s="575">
        <v>146</v>
      </c>
      <c r="K78" s="578">
        <v>8</v>
      </c>
      <c r="L78" s="575">
        <v>77</v>
      </c>
      <c r="M78" s="578"/>
      <c r="N78" s="578"/>
      <c r="O78" s="578"/>
      <c r="P78" s="578"/>
      <c r="Q78" s="577">
        <v>70</v>
      </c>
      <c r="R78" s="503">
        <f t="shared" si="26"/>
        <v>147</v>
      </c>
      <c r="S78" s="504">
        <f t="shared" si="27"/>
        <v>66.66666666666666</v>
      </c>
      <c r="T78" s="510">
        <f t="shared" si="6"/>
        <v>0.7674418604651163</v>
      </c>
      <c r="U78" s="511">
        <f t="shared" si="7"/>
        <v>77</v>
      </c>
      <c r="V78" s="513">
        <f t="shared" si="29"/>
        <v>-4</v>
      </c>
      <c r="W78" s="514">
        <f t="shared" si="22"/>
        <v>147</v>
      </c>
      <c r="X78" s="514" t="str">
        <f t="shared" si="31"/>
        <v>Đ</v>
      </c>
    </row>
    <row r="79" spans="1:24" ht="21.75" customHeight="1">
      <c r="A79" s="484" t="s">
        <v>553</v>
      </c>
      <c r="B79" s="596" t="s">
        <v>537</v>
      </c>
      <c r="C79" s="502">
        <f t="shared" si="21"/>
        <v>242</v>
      </c>
      <c r="D79" s="574">
        <v>100</v>
      </c>
      <c r="E79" s="575">
        <v>142</v>
      </c>
      <c r="F79" s="575">
        <v>1</v>
      </c>
      <c r="G79" s="522"/>
      <c r="H79" s="502">
        <f t="shared" si="34"/>
        <v>241</v>
      </c>
      <c r="I79" s="502">
        <f>SUM(J79:P79)</f>
        <v>185</v>
      </c>
      <c r="J79" s="575">
        <v>116</v>
      </c>
      <c r="K79" s="575">
        <v>6</v>
      </c>
      <c r="L79" s="575">
        <v>63</v>
      </c>
      <c r="M79" s="575"/>
      <c r="N79" s="575">
        <v>0</v>
      </c>
      <c r="O79" s="575"/>
      <c r="P79" s="576">
        <v>0</v>
      </c>
      <c r="Q79" s="577">
        <v>56</v>
      </c>
      <c r="R79" s="503">
        <f t="shared" si="26"/>
        <v>119</v>
      </c>
      <c r="S79" s="504">
        <f t="shared" si="27"/>
        <v>65.94594594594595</v>
      </c>
      <c r="T79" s="510">
        <f t="shared" si="6"/>
        <v>0.7676348547717843</v>
      </c>
      <c r="U79" s="511">
        <f t="shared" si="7"/>
        <v>63</v>
      </c>
      <c r="V79" s="513">
        <f t="shared" si="29"/>
        <v>0</v>
      </c>
      <c r="W79" s="514">
        <f t="shared" si="22"/>
        <v>119</v>
      </c>
      <c r="X79" s="514" t="str">
        <f t="shared" si="31"/>
        <v>Đ</v>
      </c>
    </row>
    <row r="80" spans="1:24" s="404" customFormat="1" ht="29.25" customHeight="1">
      <c r="A80" s="1007"/>
      <c r="B80" s="1007"/>
      <c r="C80" s="1007"/>
      <c r="D80" s="1007"/>
      <c r="E80" s="1007"/>
      <c r="F80" s="447"/>
      <c r="G80" s="390"/>
      <c r="H80" s="447"/>
      <c r="I80" s="390"/>
      <c r="J80" s="390"/>
      <c r="K80" s="390"/>
      <c r="L80" s="390"/>
      <c r="M80" s="390"/>
      <c r="N80" s="1005" t="str">
        <f>'Thong tin'!B8</f>
        <v>Trà Vinh, ngày 03 tháng 9  năm 2019</v>
      </c>
      <c r="O80" s="1005"/>
      <c r="P80" s="1005"/>
      <c r="Q80" s="1005"/>
      <c r="R80" s="1005"/>
      <c r="S80" s="1005"/>
      <c r="T80" s="453"/>
      <c r="U80" s="453"/>
      <c r="X80" s="509"/>
    </row>
    <row r="81" spans="1:24" s="401" customFormat="1" ht="19.5" customHeight="1">
      <c r="A81" s="403"/>
      <c r="B81" s="1006" t="s">
        <v>4</v>
      </c>
      <c r="C81" s="1006"/>
      <c r="D81" s="1006"/>
      <c r="E81" s="1006"/>
      <c r="F81" s="402"/>
      <c r="G81" s="402"/>
      <c r="H81" s="402"/>
      <c r="I81" s="402"/>
      <c r="J81" s="402"/>
      <c r="K81" s="402"/>
      <c r="L81" s="402"/>
      <c r="M81" s="402"/>
      <c r="N81" s="1012" t="str">
        <f>'Thong tin'!B7</f>
        <v>PHÓ CỤC TRƯỞNG</v>
      </c>
      <c r="O81" s="1012"/>
      <c r="P81" s="1012"/>
      <c r="Q81" s="1012"/>
      <c r="R81" s="1012"/>
      <c r="S81" s="1012"/>
      <c r="T81" s="452"/>
      <c r="U81" s="452"/>
      <c r="X81" s="509"/>
    </row>
    <row r="82" spans="1:24" ht="18.75">
      <c r="A82" s="387"/>
      <c r="B82" s="389"/>
      <c r="C82" s="440"/>
      <c r="D82" s="440"/>
      <c r="E82" s="442"/>
      <c r="F82" s="442"/>
      <c r="G82" s="442"/>
      <c r="H82" s="442"/>
      <c r="I82" s="442"/>
      <c r="J82" s="442"/>
      <c r="K82" s="442"/>
      <c r="L82" s="442"/>
      <c r="M82" s="442"/>
      <c r="N82" s="442"/>
      <c r="O82" s="442"/>
      <c r="P82" s="442"/>
      <c r="Q82" s="442"/>
      <c r="R82" s="441"/>
      <c r="S82" s="441"/>
      <c r="T82" s="441"/>
      <c r="U82" s="441"/>
      <c r="X82" s="509"/>
    </row>
    <row r="83" spans="1:24" ht="18.75">
      <c r="A83" s="387"/>
      <c r="B83" s="387"/>
      <c r="C83" s="443"/>
      <c r="D83" s="443"/>
      <c r="E83" s="443"/>
      <c r="F83" s="443"/>
      <c r="G83" s="443"/>
      <c r="H83" s="443"/>
      <c r="I83" s="443"/>
      <c r="J83" s="443"/>
      <c r="K83" s="443"/>
      <c r="L83" s="443"/>
      <c r="M83" s="443"/>
      <c r="N83" s="443"/>
      <c r="O83" s="443"/>
      <c r="P83" s="443"/>
      <c r="Q83" s="443"/>
      <c r="R83" s="387"/>
      <c r="S83" s="387"/>
      <c r="T83" s="387"/>
      <c r="U83" s="387"/>
      <c r="V83" s="514"/>
      <c r="X83" s="509"/>
    </row>
    <row r="84" spans="1:21" ht="18.75">
      <c r="A84" s="387"/>
      <c r="B84" s="388"/>
      <c r="C84" s="388"/>
      <c r="D84" s="388"/>
      <c r="E84" s="388"/>
      <c r="F84" s="388"/>
      <c r="G84" s="388"/>
      <c r="H84" s="388"/>
      <c r="I84" s="388"/>
      <c r="J84" s="388"/>
      <c r="K84" s="388"/>
      <c r="L84" s="388"/>
      <c r="M84" s="388"/>
      <c r="N84" s="388"/>
      <c r="O84" s="388"/>
      <c r="P84" s="388"/>
      <c r="Q84" s="388"/>
      <c r="R84" s="388"/>
      <c r="S84" s="387"/>
      <c r="T84" s="387"/>
      <c r="U84" s="387"/>
    </row>
    <row r="85" spans="1:21" ht="15.75" customHeight="1">
      <c r="A85" s="400"/>
      <c r="B85" s="387"/>
      <c r="C85" s="387"/>
      <c r="D85" s="388"/>
      <c r="E85" s="388"/>
      <c r="F85" s="388"/>
      <c r="G85" s="388"/>
      <c r="H85" s="388"/>
      <c r="I85" s="388"/>
      <c r="J85" s="388"/>
      <c r="K85" s="388"/>
      <c r="L85" s="388"/>
      <c r="M85" s="388"/>
      <c r="N85" s="388"/>
      <c r="O85" s="388"/>
      <c r="P85" s="388"/>
      <c r="Q85" s="388"/>
      <c r="R85" s="387"/>
      <c r="S85" s="387"/>
      <c r="T85" s="387"/>
      <c r="U85" s="387"/>
    </row>
    <row r="86" spans="1:21" ht="15.75" customHeight="1">
      <c r="A86" s="387"/>
      <c r="B86" s="388"/>
      <c r="C86" s="388"/>
      <c r="D86" s="388"/>
      <c r="E86" s="388"/>
      <c r="F86" s="388"/>
      <c r="G86" s="388"/>
      <c r="H86" s="388"/>
      <c r="I86" s="388"/>
      <c r="J86" s="388"/>
      <c r="K86" s="388"/>
      <c r="L86" s="388"/>
      <c r="M86" s="388"/>
      <c r="N86" s="388"/>
      <c r="O86" s="388"/>
      <c r="P86" s="388"/>
      <c r="Q86" s="388"/>
      <c r="R86" s="387"/>
      <c r="S86" s="387"/>
      <c r="T86" s="387"/>
      <c r="U86" s="387"/>
    </row>
    <row r="87" spans="1:21" ht="18.75">
      <c r="A87" s="389"/>
      <c r="B87" s="389"/>
      <c r="C87" s="389"/>
      <c r="D87" s="389"/>
      <c r="E87" s="389"/>
      <c r="F87" s="389"/>
      <c r="G87" s="389"/>
      <c r="H87" s="389"/>
      <c r="I87" s="389"/>
      <c r="J87" s="389"/>
      <c r="K87" s="389"/>
      <c r="L87" s="389"/>
      <c r="M87" s="389"/>
      <c r="N87" s="389"/>
      <c r="O87" s="389"/>
      <c r="P87" s="389"/>
      <c r="Q87" s="387"/>
      <c r="R87" s="387"/>
      <c r="S87" s="387"/>
      <c r="T87" s="387"/>
      <c r="U87" s="387"/>
    </row>
    <row r="88" spans="1:21" ht="18.75">
      <c r="A88" s="387"/>
      <c r="B88" s="387"/>
      <c r="C88" s="387"/>
      <c r="D88" s="387"/>
      <c r="E88" s="387"/>
      <c r="F88" s="387"/>
      <c r="G88" s="387"/>
      <c r="H88" s="387"/>
      <c r="I88" s="387"/>
      <c r="J88" s="387"/>
      <c r="K88" s="387"/>
      <c r="L88" s="387"/>
      <c r="M88" s="387"/>
      <c r="N88" s="387"/>
      <c r="O88" s="387"/>
      <c r="P88" s="387"/>
      <c r="Q88" s="387"/>
      <c r="R88" s="387"/>
      <c r="S88" s="387"/>
      <c r="T88" s="387"/>
      <c r="U88" s="387"/>
    </row>
    <row r="89" spans="1:21" ht="18.75">
      <c r="A89" s="387"/>
      <c r="B89" s="1011" t="str">
        <f>'Thong tin'!B5</f>
        <v>Nhan Quốc Hải</v>
      </c>
      <c r="C89" s="1011"/>
      <c r="D89" s="1011"/>
      <c r="E89" s="1011"/>
      <c r="F89" s="387"/>
      <c r="G89" s="387"/>
      <c r="H89" s="387"/>
      <c r="I89" s="387"/>
      <c r="J89" s="387"/>
      <c r="K89" s="387"/>
      <c r="L89" s="387"/>
      <c r="M89" s="387"/>
      <c r="N89" s="1011" t="str">
        <f>'Thong tin'!B6</f>
        <v>Nguyễn Minh Khiêm</v>
      </c>
      <c r="O89" s="1011"/>
      <c r="P89" s="1011"/>
      <c r="Q89" s="1011"/>
      <c r="R89" s="1011"/>
      <c r="S89" s="1011"/>
      <c r="T89" s="451"/>
      <c r="U89" s="451"/>
    </row>
    <row r="90" spans="1:21" ht="18.75">
      <c r="A90" s="399"/>
      <c r="B90" s="399"/>
      <c r="C90" s="399"/>
      <c r="D90" s="399"/>
      <c r="E90" s="399"/>
      <c r="F90" s="399"/>
      <c r="G90" s="399"/>
      <c r="H90" s="399"/>
      <c r="I90" s="399"/>
      <c r="J90" s="399"/>
      <c r="K90" s="399"/>
      <c r="L90" s="399"/>
      <c r="M90" s="399"/>
      <c r="N90" s="399"/>
      <c r="O90" s="399"/>
      <c r="P90" s="399"/>
      <c r="Q90" s="399"/>
      <c r="R90" s="399"/>
      <c r="S90" s="399"/>
      <c r="T90" s="399"/>
      <c r="U90" s="399"/>
    </row>
  </sheetData>
  <sheetProtection/>
  <mergeCells count="33">
    <mergeCell ref="T7:T9"/>
    <mergeCell ref="U7:U9"/>
    <mergeCell ref="P2:S2"/>
    <mergeCell ref="H6:Q6"/>
    <mergeCell ref="B89:E89"/>
    <mergeCell ref="N81:S81"/>
    <mergeCell ref="N89:S89"/>
    <mergeCell ref="D8:D9"/>
    <mergeCell ref="A11:B11"/>
    <mergeCell ref="C6:E6"/>
    <mergeCell ref="N80:S80"/>
    <mergeCell ref="J8:P8"/>
    <mergeCell ref="B81:E81"/>
    <mergeCell ref="A80:E80"/>
    <mergeCell ref="R6:R9"/>
    <mergeCell ref="I8:I9"/>
    <mergeCell ref="P4:S4"/>
    <mergeCell ref="I7:P7"/>
    <mergeCell ref="S6:S9"/>
    <mergeCell ref="A6:B9"/>
    <mergeCell ref="E8:E9"/>
    <mergeCell ref="Q7:Q9"/>
    <mergeCell ref="D7:E7"/>
    <mergeCell ref="C7:C9"/>
    <mergeCell ref="E1:O1"/>
    <mergeCell ref="E2:O2"/>
    <mergeCell ref="E3:O3"/>
    <mergeCell ref="F6:F9"/>
    <mergeCell ref="G6:G9"/>
    <mergeCell ref="A10:B10"/>
    <mergeCell ref="H7:H9"/>
    <mergeCell ref="A3:D3"/>
    <mergeCell ref="A2:D2"/>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H89"/>
  <sheetViews>
    <sheetView showZeros="0" view="pageBreakPreview" zoomScaleNormal="85" zoomScaleSheetLayoutView="100" zoomScalePageLayoutView="0" workbookViewId="0" topLeftCell="A9">
      <pane xSplit="2" ySplit="3" topLeftCell="H70" activePane="bottomRight" state="frozen"/>
      <selection pane="topLeft" activeCell="G53" sqref="F52:G53"/>
      <selection pane="topRight" activeCell="G53" sqref="F52:G53"/>
      <selection pane="bottomLeft" activeCell="G53" sqref="F52:G53"/>
      <selection pane="bottomRight" activeCell="A11" sqref="A11:IV79"/>
    </sheetView>
  </sheetViews>
  <sheetFormatPr defaultColWidth="9.00390625" defaultRowHeight="15.75"/>
  <cols>
    <col min="1" max="1" width="3.50390625" style="378" customWidth="1"/>
    <col min="2" max="2" width="11.00390625" style="378" customWidth="1"/>
    <col min="3" max="6" width="8.625" style="378" customWidth="1"/>
    <col min="7" max="7" width="7.375" style="378" customWidth="1"/>
    <col min="8" max="15" width="8.625" style="378" customWidth="1"/>
    <col min="16" max="16" width="6.25390625" style="378" customWidth="1"/>
    <col min="17" max="21" width="8.625" style="378" customWidth="1"/>
    <col min="22" max="22" width="7.875" style="378" customWidth="1"/>
    <col min="23" max="23" width="8.625" style="378" customWidth="1"/>
    <col min="24" max="24" width="10.875" style="378" bestFit="1" customWidth="1"/>
    <col min="25" max="16384" width="9.00390625" style="378" customWidth="1"/>
  </cols>
  <sheetData>
    <row r="1" spans="1:22" ht="20.25" customHeight="1">
      <c r="A1" s="417" t="s">
        <v>28</v>
      </c>
      <c r="B1" s="417"/>
      <c r="C1" s="417"/>
      <c r="E1" s="996" t="s">
        <v>66</v>
      </c>
      <c r="F1" s="996"/>
      <c r="G1" s="996"/>
      <c r="H1" s="996"/>
      <c r="I1" s="996"/>
      <c r="J1" s="996"/>
      <c r="K1" s="996"/>
      <c r="L1" s="996"/>
      <c r="M1" s="996"/>
      <c r="N1" s="996"/>
      <c r="O1" s="996"/>
      <c r="P1" s="996"/>
      <c r="Q1" s="419" t="s">
        <v>429</v>
      </c>
      <c r="R1" s="415"/>
      <c r="S1" s="415"/>
      <c r="T1" s="415"/>
      <c r="U1" s="415"/>
      <c r="V1" s="415"/>
    </row>
    <row r="2" spans="1:22" ht="17.25" customHeight="1">
      <c r="A2" s="1019" t="s">
        <v>245</v>
      </c>
      <c r="B2" s="1019"/>
      <c r="C2" s="1019"/>
      <c r="D2" s="1019"/>
      <c r="E2" s="997" t="s">
        <v>34</v>
      </c>
      <c r="F2" s="997"/>
      <c r="G2" s="997"/>
      <c r="H2" s="997"/>
      <c r="I2" s="997"/>
      <c r="J2" s="997"/>
      <c r="K2" s="997"/>
      <c r="L2" s="997"/>
      <c r="M2" s="997"/>
      <c r="N2" s="997"/>
      <c r="O2" s="997"/>
      <c r="P2" s="997"/>
      <c r="Q2" s="1020" t="str">
        <f>'Thong tin'!B4</f>
        <v>CTHADS TRÀ VINH</v>
      </c>
      <c r="R2" s="1020"/>
      <c r="S2" s="1020"/>
      <c r="T2" s="1020"/>
      <c r="U2" s="516"/>
      <c r="V2" s="516"/>
    </row>
    <row r="3" spans="1:22" ht="18" customHeight="1">
      <c r="A3" s="1019" t="s">
        <v>246</v>
      </c>
      <c r="B3" s="1019"/>
      <c r="C3" s="1019"/>
      <c r="D3" s="1019"/>
      <c r="E3" s="998" t="str">
        <f>'Thong tin'!B3</f>
        <v>11 tháng / năm 2019</v>
      </c>
      <c r="F3" s="998"/>
      <c r="G3" s="998"/>
      <c r="H3" s="998"/>
      <c r="I3" s="998"/>
      <c r="J3" s="998"/>
      <c r="K3" s="998"/>
      <c r="L3" s="998"/>
      <c r="M3" s="998"/>
      <c r="N3" s="998"/>
      <c r="O3" s="998"/>
      <c r="P3" s="998"/>
      <c r="Q3" s="419" t="s">
        <v>363</v>
      </c>
      <c r="R3" s="418"/>
      <c r="S3" s="415"/>
      <c r="T3" s="415"/>
      <c r="U3" s="415"/>
      <c r="V3" s="415"/>
    </row>
    <row r="4" spans="1:22" ht="14.25" customHeight="1">
      <c r="A4" s="382" t="s">
        <v>125</v>
      </c>
      <c r="B4" s="417"/>
      <c r="C4" s="417"/>
      <c r="D4" s="417"/>
      <c r="E4" s="417"/>
      <c r="F4" s="417"/>
      <c r="G4" s="417"/>
      <c r="H4" s="417"/>
      <c r="I4" s="417"/>
      <c r="J4" s="417"/>
      <c r="K4" s="417"/>
      <c r="L4" s="417"/>
      <c r="M4" s="417"/>
      <c r="N4" s="417"/>
      <c r="O4" s="416"/>
      <c r="P4" s="416"/>
      <c r="Q4" s="1021" t="s">
        <v>305</v>
      </c>
      <c r="R4" s="1021"/>
      <c r="S4" s="1021"/>
      <c r="T4" s="1021"/>
      <c r="U4" s="517"/>
      <c r="V4" s="517"/>
    </row>
    <row r="5" spans="2:22" ht="21.75" customHeight="1">
      <c r="B5" s="21"/>
      <c r="C5" s="21"/>
      <c r="Q5" s="1023" t="s">
        <v>430</v>
      </c>
      <c r="R5" s="1023"/>
      <c r="S5" s="1023"/>
      <c r="T5" s="1023"/>
      <c r="U5" s="515"/>
      <c r="V5" s="515"/>
    </row>
    <row r="6" spans="1:34" ht="18.75" customHeight="1">
      <c r="A6" s="1026" t="s">
        <v>57</v>
      </c>
      <c r="B6" s="1026"/>
      <c r="C6" s="1022" t="s">
        <v>126</v>
      </c>
      <c r="D6" s="1022"/>
      <c r="E6" s="1022"/>
      <c r="F6" s="1024" t="s">
        <v>101</v>
      </c>
      <c r="G6" s="1024" t="s">
        <v>127</v>
      </c>
      <c r="H6" s="1025" t="s">
        <v>102</v>
      </c>
      <c r="I6" s="1025"/>
      <c r="J6" s="1025"/>
      <c r="K6" s="1025"/>
      <c r="L6" s="1025"/>
      <c r="M6" s="1025"/>
      <c r="N6" s="1025"/>
      <c r="O6" s="1025"/>
      <c r="P6" s="1025"/>
      <c r="Q6" s="1025"/>
      <c r="R6" s="1025"/>
      <c r="S6" s="1022" t="s">
        <v>250</v>
      </c>
      <c r="T6" s="1022" t="s">
        <v>512</v>
      </c>
      <c r="U6" s="464"/>
      <c r="V6" s="523"/>
      <c r="W6" s="381"/>
      <c r="X6" s="381"/>
      <c r="Y6" s="381"/>
      <c r="Z6" s="381"/>
      <c r="AA6" s="381"/>
      <c r="AB6" s="381"/>
      <c r="AC6" s="381"/>
      <c r="AD6" s="381"/>
      <c r="AE6" s="381"/>
      <c r="AF6" s="381"/>
      <c r="AG6" s="381"/>
      <c r="AH6" s="381"/>
    </row>
    <row r="7" spans="1:34" s="414" customFormat="1" ht="21" customHeight="1">
      <c r="A7" s="1026"/>
      <c r="B7" s="1026"/>
      <c r="C7" s="1022" t="s">
        <v>42</v>
      </c>
      <c r="D7" s="1022" t="s">
        <v>7</v>
      </c>
      <c r="E7" s="1022"/>
      <c r="F7" s="1024"/>
      <c r="G7" s="1024"/>
      <c r="H7" s="1024" t="s">
        <v>102</v>
      </c>
      <c r="I7" s="1022" t="s">
        <v>103</v>
      </c>
      <c r="J7" s="1022"/>
      <c r="K7" s="1022"/>
      <c r="L7" s="1022"/>
      <c r="M7" s="1022"/>
      <c r="N7" s="1022"/>
      <c r="O7" s="1022"/>
      <c r="P7" s="1022"/>
      <c r="Q7" s="1022"/>
      <c r="R7" s="1024" t="s">
        <v>128</v>
      </c>
      <c r="S7" s="1022"/>
      <c r="T7" s="1022"/>
      <c r="U7" s="464"/>
      <c r="V7" s="523"/>
      <c r="W7" s="415"/>
      <c r="X7" s="415"/>
      <c r="Y7" s="415"/>
      <c r="Z7" s="415"/>
      <c r="AA7" s="415"/>
      <c r="AB7" s="415"/>
      <c r="AC7" s="415"/>
      <c r="AD7" s="415"/>
      <c r="AE7" s="415"/>
      <c r="AF7" s="415"/>
      <c r="AG7" s="415"/>
      <c r="AH7" s="415"/>
    </row>
    <row r="8" spans="1:34" ht="21.75" customHeight="1">
      <c r="A8" s="1026"/>
      <c r="B8" s="1026"/>
      <c r="C8" s="1022"/>
      <c r="D8" s="1022" t="s">
        <v>129</v>
      </c>
      <c r="E8" s="1022" t="s">
        <v>130</v>
      </c>
      <c r="F8" s="1024"/>
      <c r="G8" s="1024"/>
      <c r="H8" s="1024"/>
      <c r="I8" s="1024" t="s">
        <v>511</v>
      </c>
      <c r="J8" s="1022" t="s">
        <v>7</v>
      </c>
      <c r="K8" s="1022"/>
      <c r="L8" s="1022"/>
      <c r="M8" s="1022"/>
      <c r="N8" s="1022"/>
      <c r="O8" s="1022"/>
      <c r="P8" s="1022"/>
      <c r="Q8" s="1022"/>
      <c r="R8" s="1024"/>
      <c r="S8" s="1022"/>
      <c r="T8" s="1022"/>
      <c r="U8" s="464"/>
      <c r="V8" s="523"/>
      <c r="W8" s="381"/>
      <c r="X8" s="381"/>
      <c r="Y8" s="381"/>
      <c r="Z8" s="381"/>
      <c r="AA8" s="381"/>
      <c r="AB8" s="381"/>
      <c r="AC8" s="381"/>
      <c r="AD8" s="381"/>
      <c r="AE8" s="381"/>
      <c r="AF8" s="381"/>
      <c r="AG8" s="381"/>
      <c r="AH8" s="381"/>
    </row>
    <row r="9" spans="1:34" ht="84" customHeight="1">
      <c r="A9" s="1026"/>
      <c r="B9" s="1026"/>
      <c r="C9" s="1022"/>
      <c r="D9" s="1022"/>
      <c r="E9" s="1022"/>
      <c r="F9" s="1024"/>
      <c r="G9" s="1024"/>
      <c r="H9" s="1024"/>
      <c r="I9" s="1024"/>
      <c r="J9" s="464" t="s">
        <v>131</v>
      </c>
      <c r="K9" s="464" t="s">
        <v>132</v>
      </c>
      <c r="L9" s="464" t="s">
        <v>124</v>
      </c>
      <c r="M9" s="465" t="s">
        <v>105</v>
      </c>
      <c r="N9" s="465" t="s">
        <v>133</v>
      </c>
      <c r="O9" s="465" t="s">
        <v>108</v>
      </c>
      <c r="P9" s="465" t="s">
        <v>251</v>
      </c>
      <c r="Q9" s="465" t="s">
        <v>111</v>
      </c>
      <c r="R9" s="1024"/>
      <c r="S9" s="1022"/>
      <c r="T9" s="1022"/>
      <c r="U9" s="464" t="s">
        <v>528</v>
      </c>
      <c r="V9" s="579"/>
      <c r="W9" s="381"/>
      <c r="X9" s="381"/>
      <c r="Y9" s="381"/>
      <c r="Z9" s="381"/>
      <c r="AA9" s="381"/>
      <c r="AB9" s="381"/>
      <c r="AC9" s="381"/>
      <c r="AD9" s="381"/>
      <c r="AE9" s="381"/>
      <c r="AF9" s="381"/>
      <c r="AG9" s="381"/>
      <c r="AH9" s="381"/>
    </row>
    <row r="10" spans="1:25" ht="17.25" customHeight="1">
      <c r="A10" s="1027" t="s">
        <v>6</v>
      </c>
      <c r="B10" s="1028"/>
      <c r="C10" s="466">
        <v>1</v>
      </c>
      <c r="D10" s="466">
        <v>2</v>
      </c>
      <c r="E10" s="466">
        <v>3</v>
      </c>
      <c r="F10" s="466">
        <v>4</v>
      </c>
      <c r="G10" s="466">
        <v>5</v>
      </c>
      <c r="H10" s="466">
        <v>6</v>
      </c>
      <c r="I10" s="466">
        <v>7</v>
      </c>
      <c r="J10" s="466">
        <v>8</v>
      </c>
      <c r="K10" s="466">
        <v>9</v>
      </c>
      <c r="L10" s="466" t="s">
        <v>83</v>
      </c>
      <c r="M10" s="466" t="s">
        <v>84</v>
      </c>
      <c r="N10" s="466" t="s">
        <v>85</v>
      </c>
      <c r="O10" s="466" t="s">
        <v>86</v>
      </c>
      <c r="P10" s="466" t="s">
        <v>87</v>
      </c>
      <c r="Q10" s="466" t="s">
        <v>253</v>
      </c>
      <c r="R10" s="466" t="s">
        <v>518</v>
      </c>
      <c r="S10" s="466" t="s">
        <v>517</v>
      </c>
      <c r="T10" s="467" t="s">
        <v>516</v>
      </c>
      <c r="U10" s="466" t="s">
        <v>530</v>
      </c>
      <c r="V10" s="466" t="s">
        <v>531</v>
      </c>
      <c r="W10" s="466" t="s">
        <v>532</v>
      </c>
      <c r="X10" s="466" t="s">
        <v>533</v>
      </c>
      <c r="Y10" s="466" t="s">
        <v>534</v>
      </c>
    </row>
    <row r="11" spans="1:25" ht="19.5" customHeight="1">
      <c r="A11" s="1016" t="s">
        <v>30</v>
      </c>
      <c r="B11" s="1017"/>
      <c r="C11" s="521">
        <f aca="true" t="shared" si="0" ref="C11:S11">+C12+C23</f>
        <v>979537054</v>
      </c>
      <c r="D11" s="521">
        <f t="shared" si="0"/>
        <v>636078611</v>
      </c>
      <c r="E11" s="521">
        <f t="shared" si="0"/>
        <v>343458443</v>
      </c>
      <c r="F11" s="521">
        <f t="shared" si="0"/>
        <v>58151877</v>
      </c>
      <c r="G11" s="521">
        <f t="shared" si="0"/>
        <v>10066000</v>
      </c>
      <c r="H11" s="521">
        <f t="shared" si="0"/>
        <v>921385177</v>
      </c>
      <c r="I11" s="521">
        <f t="shared" si="0"/>
        <v>563418970</v>
      </c>
      <c r="J11" s="521">
        <f t="shared" si="0"/>
        <v>153087461</v>
      </c>
      <c r="K11" s="521">
        <f t="shared" si="0"/>
        <v>45758627</v>
      </c>
      <c r="L11" s="521">
        <f t="shared" si="0"/>
        <v>32442</v>
      </c>
      <c r="M11" s="521">
        <f t="shared" si="0"/>
        <v>361183355</v>
      </c>
      <c r="N11" s="521">
        <f t="shared" si="0"/>
        <v>2649024</v>
      </c>
      <c r="O11" s="521">
        <f t="shared" si="0"/>
        <v>56600</v>
      </c>
      <c r="P11" s="521">
        <f t="shared" si="0"/>
        <v>0</v>
      </c>
      <c r="Q11" s="521">
        <f t="shared" si="0"/>
        <v>651461</v>
      </c>
      <c r="R11" s="521">
        <f t="shared" si="0"/>
        <v>357966207</v>
      </c>
      <c r="S11" s="521">
        <f t="shared" si="0"/>
        <v>722506647</v>
      </c>
      <c r="T11" s="468">
        <f aca="true" t="shared" si="1" ref="T11:T44">(((J11+K11+L11))/I11)*100</f>
        <v>35.298515064198135</v>
      </c>
      <c r="U11" s="536">
        <f>I11/H11</f>
        <v>0.611491246076341</v>
      </c>
      <c r="V11" s="521">
        <f>+V12+V23</f>
        <v>0</v>
      </c>
      <c r="W11" s="545">
        <f aca="true" t="shared" si="2" ref="W11:W25">+C11-(F11+G11+H11)</f>
        <v>-10066000</v>
      </c>
      <c r="X11" s="448">
        <f aca="true" t="shared" si="3" ref="X11:X44">+M11+N11+O11+P11+Q11+R11</f>
        <v>722506647</v>
      </c>
      <c r="Y11" s="546" t="str">
        <f aca="true" t="shared" si="4" ref="Y11:Y44">+IF(X11=S11,"Đ","S")</f>
        <v>Đ</v>
      </c>
    </row>
    <row r="12" spans="1:25" ht="19.5" customHeight="1">
      <c r="A12" s="469" t="s">
        <v>0</v>
      </c>
      <c r="B12" s="470" t="s">
        <v>510</v>
      </c>
      <c r="C12" s="521">
        <f aca="true" t="shared" si="5" ref="C12:K12">SUM(C13:C22)</f>
        <v>137482658</v>
      </c>
      <c r="D12" s="521">
        <f t="shared" si="5"/>
        <v>84778571</v>
      </c>
      <c r="E12" s="521">
        <f t="shared" si="5"/>
        <v>52704087</v>
      </c>
      <c r="F12" s="521">
        <f t="shared" si="5"/>
        <v>4800</v>
      </c>
      <c r="G12" s="521">
        <f t="shared" si="5"/>
        <v>5033000</v>
      </c>
      <c r="H12" s="521">
        <f t="shared" si="5"/>
        <v>137477858</v>
      </c>
      <c r="I12" s="521">
        <f t="shared" si="5"/>
        <v>90124160</v>
      </c>
      <c r="J12" s="521">
        <f t="shared" si="5"/>
        <v>35307556</v>
      </c>
      <c r="K12" s="521">
        <f t="shared" si="5"/>
        <v>733896</v>
      </c>
      <c r="L12" s="521"/>
      <c r="M12" s="521">
        <f aca="true" t="shared" si="6" ref="M12:S12">SUM(M13:M22)</f>
        <v>53237387</v>
      </c>
      <c r="N12" s="521">
        <f t="shared" si="6"/>
        <v>633931</v>
      </c>
      <c r="O12" s="521">
        <f t="shared" si="6"/>
        <v>23750</v>
      </c>
      <c r="P12" s="521">
        <f t="shared" si="6"/>
        <v>0</v>
      </c>
      <c r="Q12" s="521">
        <f t="shared" si="6"/>
        <v>187640</v>
      </c>
      <c r="R12" s="521">
        <f t="shared" si="6"/>
        <v>47353698</v>
      </c>
      <c r="S12" s="521">
        <f t="shared" si="6"/>
        <v>101436406</v>
      </c>
      <c r="T12" s="468">
        <f t="shared" si="1"/>
        <v>39.990888125892106</v>
      </c>
      <c r="U12" s="536">
        <f aca="true" t="shared" si="7" ref="U12:U79">I12/H12</f>
        <v>0.655554002012455</v>
      </c>
      <c r="V12" s="521">
        <f>SUM(V13:V22)</f>
        <v>0</v>
      </c>
      <c r="W12" s="545">
        <f t="shared" si="2"/>
        <v>-5033000</v>
      </c>
      <c r="X12" s="448">
        <f t="shared" si="3"/>
        <v>101436406</v>
      </c>
      <c r="Y12" s="546" t="str">
        <f t="shared" si="4"/>
        <v>Đ</v>
      </c>
    </row>
    <row r="13" spans="1:25" ht="19.5" customHeight="1">
      <c r="A13" s="436" t="s">
        <v>43</v>
      </c>
      <c r="B13" s="435" t="s">
        <v>435</v>
      </c>
      <c r="C13" s="521">
        <f aca="true" t="shared" si="8" ref="C13:C22">+D13+E13</f>
        <v>27203</v>
      </c>
      <c r="D13" s="471"/>
      <c r="E13" s="471">
        <v>27203</v>
      </c>
      <c r="F13" s="471"/>
      <c r="G13" s="471"/>
      <c r="H13" s="521">
        <f aca="true" t="shared" si="9" ref="H13:H22">SUM(I13,R13)</f>
        <v>27203</v>
      </c>
      <c r="I13" s="521">
        <f aca="true" t="shared" si="10" ref="I13:I22">SUM(J13:Q13)</f>
        <v>27203</v>
      </c>
      <c r="J13" s="471">
        <v>27203</v>
      </c>
      <c r="K13" s="471"/>
      <c r="L13" s="471"/>
      <c r="M13" s="471"/>
      <c r="N13" s="471"/>
      <c r="O13" s="471"/>
      <c r="P13" s="471"/>
      <c r="Q13" s="471"/>
      <c r="R13" s="471"/>
      <c r="S13" s="472">
        <f aca="true" t="shared" si="11" ref="S13:S22">SUM(M13:R13)</f>
        <v>0</v>
      </c>
      <c r="T13" s="473">
        <f t="shared" si="1"/>
        <v>100</v>
      </c>
      <c r="U13" s="536">
        <f t="shared" si="7"/>
        <v>1</v>
      </c>
      <c r="V13" s="471"/>
      <c r="W13" s="545">
        <f t="shared" si="2"/>
        <v>0</v>
      </c>
      <c r="X13" s="448">
        <f t="shared" si="3"/>
        <v>0</v>
      </c>
      <c r="Y13" s="546" t="str">
        <f t="shared" si="4"/>
        <v>Đ</v>
      </c>
    </row>
    <row r="14" spans="1:25" ht="19.5" customHeight="1">
      <c r="A14" s="436" t="s">
        <v>44</v>
      </c>
      <c r="B14" s="435" t="s">
        <v>509</v>
      </c>
      <c r="C14" s="521">
        <f t="shared" si="8"/>
        <v>3100</v>
      </c>
      <c r="D14" s="471"/>
      <c r="E14" s="471">
        <v>3100</v>
      </c>
      <c r="F14" s="471"/>
      <c r="G14" s="471"/>
      <c r="H14" s="521">
        <f t="shared" si="9"/>
        <v>3100</v>
      </c>
      <c r="I14" s="521">
        <f t="shared" si="10"/>
        <v>3100</v>
      </c>
      <c r="J14" s="471">
        <v>3100</v>
      </c>
      <c r="K14" s="471"/>
      <c r="L14" s="471"/>
      <c r="M14" s="471"/>
      <c r="N14" s="471"/>
      <c r="O14" s="471"/>
      <c r="P14" s="471"/>
      <c r="Q14" s="471"/>
      <c r="R14" s="471"/>
      <c r="S14" s="472">
        <f t="shared" si="11"/>
        <v>0</v>
      </c>
      <c r="T14" s="473">
        <f t="shared" si="1"/>
        <v>100</v>
      </c>
      <c r="U14" s="536">
        <f t="shared" si="7"/>
        <v>1</v>
      </c>
      <c r="V14" s="471"/>
      <c r="W14" s="545">
        <f t="shared" si="2"/>
        <v>0</v>
      </c>
      <c r="X14" s="448">
        <f t="shared" si="3"/>
        <v>0</v>
      </c>
      <c r="Y14" s="546" t="str">
        <f t="shared" si="4"/>
        <v>Đ</v>
      </c>
    </row>
    <row r="15" spans="1:25" ht="19.5" customHeight="1">
      <c r="A15" s="436" t="s">
        <v>49</v>
      </c>
      <c r="B15" s="435" t="s">
        <v>508</v>
      </c>
      <c r="C15" s="521">
        <f t="shared" si="8"/>
        <v>40215137</v>
      </c>
      <c r="D15" s="471">
        <v>6396735</v>
      </c>
      <c r="E15" s="471">
        <v>33818402</v>
      </c>
      <c r="F15" s="471">
        <v>4800</v>
      </c>
      <c r="G15" s="471">
        <v>1361316</v>
      </c>
      <c r="H15" s="521">
        <f t="shared" si="9"/>
        <v>40210337</v>
      </c>
      <c r="I15" s="521">
        <f t="shared" si="10"/>
        <v>37212869</v>
      </c>
      <c r="J15" s="471">
        <v>18812206</v>
      </c>
      <c r="K15" s="471"/>
      <c r="L15" s="471"/>
      <c r="M15" s="471">
        <v>17912490</v>
      </c>
      <c r="N15" s="471">
        <v>406560</v>
      </c>
      <c r="O15" s="471">
        <v>23750</v>
      </c>
      <c r="P15" s="471"/>
      <c r="Q15" s="471">
        <v>57863</v>
      </c>
      <c r="R15" s="471">
        <v>2997468</v>
      </c>
      <c r="S15" s="472">
        <f t="shared" si="11"/>
        <v>21398131</v>
      </c>
      <c r="T15" s="473">
        <f t="shared" si="1"/>
        <v>50.55295790281582</v>
      </c>
      <c r="U15" s="536">
        <f t="shared" si="7"/>
        <v>0.925455287778364</v>
      </c>
      <c r="V15" s="471"/>
      <c r="W15" s="545">
        <f t="shared" si="2"/>
        <v>-1361316</v>
      </c>
      <c r="X15" s="448">
        <f t="shared" si="3"/>
        <v>21398131</v>
      </c>
      <c r="Y15" s="546" t="str">
        <f t="shared" si="4"/>
        <v>Đ</v>
      </c>
    </row>
    <row r="16" spans="1:25" ht="19.5" customHeight="1">
      <c r="A16" s="436" t="s">
        <v>58</v>
      </c>
      <c r="B16" s="435" t="s">
        <v>507</v>
      </c>
      <c r="C16" s="521">
        <f t="shared" si="8"/>
        <v>32044192</v>
      </c>
      <c r="D16" s="471">
        <v>31605499</v>
      </c>
      <c r="E16" s="471">
        <v>438693</v>
      </c>
      <c r="F16" s="471"/>
      <c r="G16" s="471"/>
      <c r="H16" s="521">
        <f t="shared" si="9"/>
        <v>32044192</v>
      </c>
      <c r="I16" s="521">
        <f t="shared" si="10"/>
        <v>14150831</v>
      </c>
      <c r="J16" s="471">
        <v>469816</v>
      </c>
      <c r="K16" s="471"/>
      <c r="L16" s="471"/>
      <c r="M16" s="471">
        <v>13681015</v>
      </c>
      <c r="N16" s="471"/>
      <c r="O16" s="471"/>
      <c r="P16" s="471"/>
      <c r="Q16" s="471"/>
      <c r="R16" s="471">
        <v>17893361</v>
      </c>
      <c r="S16" s="472">
        <f t="shared" si="11"/>
        <v>31574376</v>
      </c>
      <c r="T16" s="473">
        <f t="shared" si="1"/>
        <v>3.3200594367920866</v>
      </c>
      <c r="U16" s="536">
        <f t="shared" si="7"/>
        <v>0.44160361415884664</v>
      </c>
      <c r="V16" s="471"/>
      <c r="W16" s="545">
        <f t="shared" si="2"/>
        <v>0</v>
      </c>
      <c r="X16" s="448">
        <f t="shared" si="3"/>
        <v>31574376</v>
      </c>
      <c r="Y16" s="546" t="str">
        <f t="shared" si="4"/>
        <v>Đ</v>
      </c>
    </row>
    <row r="17" spans="1:25" ht="19.5" customHeight="1">
      <c r="A17" s="436" t="s">
        <v>59</v>
      </c>
      <c r="B17" s="519" t="s">
        <v>506</v>
      </c>
      <c r="C17" s="521">
        <f t="shared" si="8"/>
        <v>17904828</v>
      </c>
      <c r="D17" s="521">
        <v>14018526</v>
      </c>
      <c r="E17" s="471">
        <v>3886302</v>
      </c>
      <c r="F17" s="471"/>
      <c r="G17" s="471"/>
      <c r="H17" s="521">
        <f t="shared" si="9"/>
        <v>17904828</v>
      </c>
      <c r="I17" s="521">
        <f t="shared" si="10"/>
        <v>8812927</v>
      </c>
      <c r="J17" s="471">
        <v>4633066</v>
      </c>
      <c r="K17" s="471">
        <v>40477</v>
      </c>
      <c r="L17" s="471"/>
      <c r="M17" s="471">
        <v>4041724</v>
      </c>
      <c r="N17" s="471"/>
      <c r="O17" s="471"/>
      <c r="P17" s="471"/>
      <c r="Q17" s="471">
        <v>97660</v>
      </c>
      <c r="R17" s="471">
        <v>9091901</v>
      </c>
      <c r="S17" s="472">
        <f t="shared" si="11"/>
        <v>13231285</v>
      </c>
      <c r="T17" s="473">
        <f t="shared" si="1"/>
        <v>53.03054252009577</v>
      </c>
      <c r="U17" s="536">
        <f t="shared" si="7"/>
        <v>0.4922095314180064</v>
      </c>
      <c r="V17" s="471"/>
      <c r="W17" s="545">
        <f t="shared" si="2"/>
        <v>0</v>
      </c>
      <c r="X17" s="448">
        <f t="shared" si="3"/>
        <v>13231285</v>
      </c>
      <c r="Y17" s="546" t="str">
        <f t="shared" si="4"/>
        <v>Đ</v>
      </c>
    </row>
    <row r="18" spans="1:25" ht="19.5" customHeight="1">
      <c r="A18" s="436" t="s">
        <v>60</v>
      </c>
      <c r="B18" s="435" t="s">
        <v>505</v>
      </c>
      <c r="C18" s="521">
        <f t="shared" si="8"/>
        <v>16808775</v>
      </c>
      <c r="D18" s="471">
        <v>12975894</v>
      </c>
      <c r="E18" s="471">
        <v>3832881</v>
      </c>
      <c r="F18" s="471"/>
      <c r="G18" s="471">
        <v>1654996</v>
      </c>
      <c r="H18" s="521">
        <f t="shared" si="9"/>
        <v>16808775</v>
      </c>
      <c r="I18" s="521">
        <f t="shared" si="10"/>
        <v>6340949</v>
      </c>
      <c r="J18" s="471">
        <v>2687052</v>
      </c>
      <c r="K18" s="471">
        <v>129589</v>
      </c>
      <c r="L18" s="471"/>
      <c r="M18" s="471">
        <v>3296937</v>
      </c>
      <c r="N18" s="471">
        <v>227371</v>
      </c>
      <c r="O18" s="471"/>
      <c r="P18" s="471"/>
      <c r="Q18" s="471"/>
      <c r="R18" s="471">
        <v>10467826</v>
      </c>
      <c r="S18" s="472">
        <f t="shared" si="11"/>
        <v>13992134</v>
      </c>
      <c r="T18" s="473">
        <f t="shared" si="1"/>
        <v>44.41986522837512</v>
      </c>
      <c r="U18" s="536">
        <f t="shared" si="7"/>
        <v>0.37724039973168777</v>
      </c>
      <c r="V18" s="471"/>
      <c r="W18" s="545">
        <f t="shared" si="2"/>
        <v>-1654996</v>
      </c>
      <c r="X18" s="448">
        <f t="shared" si="3"/>
        <v>13992134</v>
      </c>
      <c r="Y18" s="546" t="str">
        <f t="shared" si="4"/>
        <v>Đ</v>
      </c>
    </row>
    <row r="19" spans="1:25" ht="19.5" customHeight="1">
      <c r="A19" s="436" t="s">
        <v>61</v>
      </c>
      <c r="B19" s="435" t="s">
        <v>504</v>
      </c>
      <c r="C19" s="521">
        <f t="shared" si="8"/>
        <v>5905094</v>
      </c>
      <c r="D19" s="471">
        <v>3387246</v>
      </c>
      <c r="E19" s="471">
        <v>2517848</v>
      </c>
      <c r="F19" s="471"/>
      <c r="G19" s="471"/>
      <c r="H19" s="521">
        <f t="shared" si="9"/>
        <v>5905094</v>
      </c>
      <c r="I19" s="521">
        <f t="shared" si="10"/>
        <v>3832094</v>
      </c>
      <c r="J19" s="471">
        <v>1626124</v>
      </c>
      <c r="K19" s="471">
        <v>20443</v>
      </c>
      <c r="L19" s="471"/>
      <c r="M19" s="471">
        <v>2185527</v>
      </c>
      <c r="N19" s="471"/>
      <c r="O19" s="471"/>
      <c r="P19" s="471"/>
      <c r="Q19" s="471"/>
      <c r="R19" s="471">
        <v>2073000</v>
      </c>
      <c r="S19" s="472">
        <f t="shared" si="11"/>
        <v>4258527</v>
      </c>
      <c r="T19" s="473">
        <f t="shared" si="1"/>
        <v>42.967813420025706</v>
      </c>
      <c r="U19" s="536">
        <f t="shared" si="7"/>
        <v>0.6489471632458349</v>
      </c>
      <c r="V19" s="471"/>
      <c r="W19" s="545">
        <f t="shared" si="2"/>
        <v>0</v>
      </c>
      <c r="X19" s="448">
        <f t="shared" si="3"/>
        <v>4258527</v>
      </c>
      <c r="Y19" s="546" t="str">
        <f t="shared" si="4"/>
        <v>Đ</v>
      </c>
    </row>
    <row r="20" spans="1:25" ht="19.5" customHeight="1">
      <c r="A20" s="436" t="s">
        <v>62</v>
      </c>
      <c r="B20" s="435" t="s">
        <v>567</v>
      </c>
      <c r="C20" s="521">
        <f t="shared" si="8"/>
        <v>14097388</v>
      </c>
      <c r="D20" s="521">
        <v>10507692</v>
      </c>
      <c r="E20" s="471">
        <v>3589696</v>
      </c>
      <c r="F20" s="471"/>
      <c r="G20" s="471"/>
      <c r="H20" s="521">
        <f t="shared" si="9"/>
        <v>14097388</v>
      </c>
      <c r="I20" s="521">
        <f t="shared" si="10"/>
        <v>12668341</v>
      </c>
      <c r="J20" s="471">
        <v>3385281</v>
      </c>
      <c r="K20" s="471">
        <v>99899</v>
      </c>
      <c r="L20" s="471"/>
      <c r="M20" s="471">
        <v>9151044</v>
      </c>
      <c r="N20" s="471"/>
      <c r="O20" s="471"/>
      <c r="P20" s="471"/>
      <c r="Q20" s="471">
        <v>32117</v>
      </c>
      <c r="R20" s="471">
        <v>1429047</v>
      </c>
      <c r="S20" s="472">
        <f t="shared" si="11"/>
        <v>10612208</v>
      </c>
      <c r="T20" s="473">
        <f t="shared" si="1"/>
        <v>27.510942435161795</v>
      </c>
      <c r="U20" s="536">
        <f t="shared" si="7"/>
        <v>0.8986303703920188</v>
      </c>
      <c r="V20" s="471"/>
      <c r="W20" s="545">
        <f t="shared" si="2"/>
        <v>0</v>
      </c>
      <c r="X20" s="448">
        <f t="shared" si="3"/>
        <v>10612208</v>
      </c>
      <c r="Y20" s="546" t="str">
        <f t="shared" si="4"/>
        <v>Đ</v>
      </c>
    </row>
    <row r="21" spans="1:25" ht="19.5" customHeight="1">
      <c r="A21" s="436" t="s">
        <v>63</v>
      </c>
      <c r="B21" s="435" t="s">
        <v>565</v>
      </c>
      <c r="C21" s="521">
        <f>+D21+E21</f>
        <v>10448741</v>
      </c>
      <c r="D21" s="521">
        <v>5886979</v>
      </c>
      <c r="E21" s="471">
        <v>4561762</v>
      </c>
      <c r="F21" s="471"/>
      <c r="G21" s="471">
        <v>2016688</v>
      </c>
      <c r="H21" s="521">
        <f>SUM(I21,R21)</f>
        <v>10448741</v>
      </c>
      <c r="I21" s="521">
        <f>SUM(J21:Q21)</f>
        <v>7047646</v>
      </c>
      <c r="J21" s="471">
        <v>3635508</v>
      </c>
      <c r="K21" s="471">
        <v>443488</v>
      </c>
      <c r="L21" s="471"/>
      <c r="M21" s="471">
        <v>2968650</v>
      </c>
      <c r="N21" s="471"/>
      <c r="O21" s="471"/>
      <c r="P21" s="471"/>
      <c r="Q21" s="471"/>
      <c r="R21" s="471">
        <v>3401095</v>
      </c>
      <c r="S21" s="472">
        <f>SUM(M21:R21)</f>
        <v>6369745</v>
      </c>
      <c r="T21" s="473">
        <f>(((J21+K21+L21))/I21)*100</f>
        <v>57.87742460390321</v>
      </c>
      <c r="U21" s="536">
        <f>I21/H21</f>
        <v>0.6744971475510781</v>
      </c>
      <c r="V21" s="471"/>
      <c r="W21" s="545">
        <f t="shared" si="2"/>
        <v>-2016688</v>
      </c>
      <c r="X21" s="448">
        <f t="shared" si="3"/>
        <v>6369745</v>
      </c>
      <c r="Y21" s="546" t="str">
        <f t="shared" si="4"/>
        <v>Đ</v>
      </c>
    </row>
    <row r="22" spans="1:25" ht="19.5" customHeight="1">
      <c r="A22" s="436" t="s">
        <v>83</v>
      </c>
      <c r="B22" s="435" t="s">
        <v>568</v>
      </c>
      <c r="C22" s="521">
        <f t="shared" si="8"/>
        <v>28200</v>
      </c>
      <c r="D22" s="471"/>
      <c r="E22" s="471">
        <v>28200</v>
      </c>
      <c r="F22" s="471"/>
      <c r="G22" s="471"/>
      <c r="H22" s="521">
        <f t="shared" si="9"/>
        <v>28200</v>
      </c>
      <c r="I22" s="521">
        <f t="shared" si="10"/>
        <v>28200</v>
      </c>
      <c r="J22" s="471">
        <v>28200</v>
      </c>
      <c r="K22" s="471"/>
      <c r="L22" s="471"/>
      <c r="M22" s="471"/>
      <c r="N22" s="471"/>
      <c r="O22" s="471"/>
      <c r="P22" s="471"/>
      <c r="Q22" s="471"/>
      <c r="R22" s="471"/>
      <c r="S22" s="472">
        <f t="shared" si="11"/>
        <v>0</v>
      </c>
      <c r="T22" s="473">
        <f t="shared" si="1"/>
        <v>100</v>
      </c>
      <c r="U22" s="536">
        <f t="shared" si="7"/>
        <v>1</v>
      </c>
      <c r="V22" s="471"/>
      <c r="W22" s="545">
        <f t="shared" si="2"/>
        <v>0</v>
      </c>
      <c r="X22" s="448">
        <f t="shared" si="3"/>
        <v>0</v>
      </c>
      <c r="Y22" s="546" t="str">
        <f t="shared" si="4"/>
        <v>Đ</v>
      </c>
    </row>
    <row r="23" spans="1:25" ht="19.5" customHeight="1">
      <c r="A23" s="469" t="s">
        <v>1</v>
      </c>
      <c r="B23" s="470" t="s">
        <v>17</v>
      </c>
      <c r="C23" s="521">
        <f aca="true" t="shared" si="12" ref="C23:S23">+C24+C33+C39+C44+C48+C54+C61+C68+C74</f>
        <v>842054396</v>
      </c>
      <c r="D23" s="521">
        <f t="shared" si="12"/>
        <v>551300040</v>
      </c>
      <c r="E23" s="521">
        <f t="shared" si="12"/>
        <v>290754356</v>
      </c>
      <c r="F23" s="521">
        <f t="shared" si="12"/>
        <v>58147077</v>
      </c>
      <c r="G23" s="521">
        <f t="shared" si="12"/>
        <v>5033000</v>
      </c>
      <c r="H23" s="521">
        <f t="shared" si="12"/>
        <v>783907319</v>
      </c>
      <c r="I23" s="521">
        <f t="shared" si="12"/>
        <v>473294810</v>
      </c>
      <c r="J23" s="521">
        <f t="shared" si="12"/>
        <v>117779905</v>
      </c>
      <c r="K23" s="521">
        <f t="shared" si="12"/>
        <v>45024731</v>
      </c>
      <c r="L23" s="521">
        <f t="shared" si="12"/>
        <v>32442</v>
      </c>
      <c r="M23" s="521">
        <f t="shared" si="12"/>
        <v>307945968</v>
      </c>
      <c r="N23" s="521">
        <f t="shared" si="12"/>
        <v>2015093</v>
      </c>
      <c r="O23" s="521">
        <f t="shared" si="12"/>
        <v>32850</v>
      </c>
      <c r="P23" s="521">
        <f t="shared" si="12"/>
        <v>0</v>
      </c>
      <c r="Q23" s="521">
        <f t="shared" si="12"/>
        <v>463821</v>
      </c>
      <c r="R23" s="521">
        <f t="shared" si="12"/>
        <v>310612509</v>
      </c>
      <c r="S23" s="521">
        <f t="shared" si="12"/>
        <v>621070241</v>
      </c>
      <c r="T23" s="473">
        <f t="shared" si="1"/>
        <v>34.404999708321334</v>
      </c>
      <c r="U23" s="536">
        <f t="shared" si="7"/>
        <v>0.6037637339625349</v>
      </c>
      <c r="V23" s="521">
        <f>+V24+V33+V39+V44+V48+V54+V61+V68+V74</f>
        <v>0</v>
      </c>
      <c r="W23" s="545">
        <f t="shared" si="2"/>
        <v>-5033000</v>
      </c>
      <c r="X23" s="448">
        <f t="shared" si="3"/>
        <v>621070241</v>
      </c>
      <c r="Y23" s="546" t="str">
        <f t="shared" si="4"/>
        <v>Đ</v>
      </c>
    </row>
    <row r="24" spans="1:25" ht="19.5" customHeight="1">
      <c r="A24" s="469" t="s">
        <v>43</v>
      </c>
      <c r="B24" s="470" t="s">
        <v>502</v>
      </c>
      <c r="C24" s="521">
        <f>+C25+C26+C27+C28+C29+C30+C31+C32</f>
        <v>197826986</v>
      </c>
      <c r="D24" s="521">
        <f aca="true" t="shared" si="13" ref="D24:S24">+D25+D26+D27+D28+D29+D30+D31+D32</f>
        <v>135558879</v>
      </c>
      <c r="E24" s="521">
        <f t="shared" si="13"/>
        <v>62268107</v>
      </c>
      <c r="F24" s="521">
        <f t="shared" si="13"/>
        <v>2534289</v>
      </c>
      <c r="G24" s="521">
        <f t="shared" si="13"/>
        <v>3671684</v>
      </c>
      <c r="H24" s="521">
        <f t="shared" si="13"/>
        <v>195292697</v>
      </c>
      <c r="I24" s="521">
        <f t="shared" si="13"/>
        <v>113021955</v>
      </c>
      <c r="J24" s="521">
        <f t="shared" si="13"/>
        <v>36499657</v>
      </c>
      <c r="K24" s="521">
        <f t="shared" si="13"/>
        <v>11900324</v>
      </c>
      <c r="L24" s="521">
        <f t="shared" si="13"/>
        <v>16192</v>
      </c>
      <c r="M24" s="521">
        <f t="shared" si="13"/>
        <v>63076850</v>
      </c>
      <c r="N24" s="521">
        <f t="shared" si="13"/>
        <v>1176151</v>
      </c>
      <c r="O24" s="521">
        <f t="shared" si="13"/>
        <v>0</v>
      </c>
      <c r="P24" s="521">
        <f t="shared" si="13"/>
        <v>0</v>
      </c>
      <c r="Q24" s="521">
        <f t="shared" si="13"/>
        <v>352781</v>
      </c>
      <c r="R24" s="521">
        <f t="shared" si="13"/>
        <v>82270742</v>
      </c>
      <c r="S24" s="521">
        <f t="shared" si="13"/>
        <v>146876524</v>
      </c>
      <c r="T24" s="473">
        <f t="shared" si="1"/>
        <v>42.83784774382995</v>
      </c>
      <c r="U24" s="536">
        <f t="shared" si="7"/>
        <v>0.5787310879320797</v>
      </c>
      <c r="V24" s="521">
        <f>+V25+V26+V27+V28+V29+V30+V31+V32</f>
        <v>0</v>
      </c>
      <c r="W24" s="545">
        <f t="shared" si="2"/>
        <v>-3671684</v>
      </c>
      <c r="X24" s="448">
        <f t="shared" si="3"/>
        <v>146876524</v>
      </c>
      <c r="Y24" s="546" t="str">
        <f t="shared" si="4"/>
        <v>Đ</v>
      </c>
    </row>
    <row r="25" spans="1:25" ht="19.5" customHeight="1">
      <c r="A25" s="436" t="s">
        <v>45</v>
      </c>
      <c r="B25" s="526" t="s">
        <v>536</v>
      </c>
      <c r="C25" s="521">
        <f>+D25+E25</f>
        <v>5711899</v>
      </c>
      <c r="D25" s="555">
        <f>4582215</f>
        <v>4582215</v>
      </c>
      <c r="E25" s="583">
        <v>1129684</v>
      </c>
      <c r="F25" s="583">
        <v>50707</v>
      </c>
      <c r="G25" s="583"/>
      <c r="H25" s="521">
        <f>+I25+R25</f>
        <v>5661192</v>
      </c>
      <c r="I25" s="521">
        <f>+J25+K25+L25+M25+N25+O25+P25+Q25</f>
        <v>1848635</v>
      </c>
      <c r="J25" s="583">
        <v>700827</v>
      </c>
      <c r="K25" s="583">
        <v>30165</v>
      </c>
      <c r="L25" s="584" t="s">
        <v>569</v>
      </c>
      <c r="M25" s="583">
        <v>1105302</v>
      </c>
      <c r="N25" s="584"/>
      <c r="O25" s="555"/>
      <c r="P25" s="584"/>
      <c r="Q25" s="584"/>
      <c r="R25" s="583">
        <v>3812557</v>
      </c>
      <c r="S25" s="472">
        <f>+R25+Q25+P25+O25+N25+M25</f>
        <v>4917859</v>
      </c>
      <c r="T25" s="473">
        <f t="shared" si="1"/>
        <v>40.20983049655557</v>
      </c>
      <c r="U25" s="536">
        <f t="shared" si="7"/>
        <v>0.3265451869500275</v>
      </c>
      <c r="V25" s="482"/>
      <c r="W25" s="545">
        <f t="shared" si="2"/>
        <v>0</v>
      </c>
      <c r="X25" s="448">
        <f t="shared" si="3"/>
        <v>4917859</v>
      </c>
      <c r="Y25" s="546" t="str">
        <f t="shared" si="4"/>
        <v>Đ</v>
      </c>
    </row>
    <row r="26" spans="1:25" ht="19.5" customHeight="1">
      <c r="A26" s="436" t="s">
        <v>46</v>
      </c>
      <c r="B26" s="527" t="s">
        <v>555</v>
      </c>
      <c r="C26" s="521">
        <f aca="true" t="shared" si="14" ref="C26:C32">+D26+E26</f>
        <v>48536351</v>
      </c>
      <c r="D26" s="555">
        <v>28322386</v>
      </c>
      <c r="E26" s="583">
        <v>20213965</v>
      </c>
      <c r="F26" s="583">
        <v>147682</v>
      </c>
      <c r="G26" s="583"/>
      <c r="H26" s="521">
        <f aca="true" t="shared" si="15" ref="H26:H32">+I26+R26</f>
        <v>48388669</v>
      </c>
      <c r="I26" s="521">
        <f aca="true" t="shared" si="16" ref="I26:I32">+J26+K26+L26+M26+N26+O26+P26+Q26</f>
        <v>30148571</v>
      </c>
      <c r="J26" s="583">
        <v>10054777</v>
      </c>
      <c r="K26" s="583">
        <v>165261</v>
      </c>
      <c r="L26" s="584"/>
      <c r="M26" s="583">
        <v>19677005</v>
      </c>
      <c r="N26" s="583">
        <v>251528</v>
      </c>
      <c r="O26" s="555"/>
      <c r="P26" s="583"/>
      <c r="Q26" s="583"/>
      <c r="R26" s="583">
        <v>18240098</v>
      </c>
      <c r="S26" s="472">
        <f aca="true" t="shared" si="17" ref="S26:S38">+R26+Q26+P26+O26+N26+M26</f>
        <v>38168631</v>
      </c>
      <c r="T26" s="473">
        <f t="shared" si="1"/>
        <v>33.89891348415817</v>
      </c>
      <c r="U26" s="536">
        <f t="shared" si="7"/>
        <v>0.6230502227701282</v>
      </c>
      <c r="V26" s="482"/>
      <c r="W26" s="545">
        <f aca="true" t="shared" si="18" ref="W26:W79">+C26-(F26+G26+H26)</f>
        <v>0</v>
      </c>
      <c r="X26" s="448">
        <f t="shared" si="3"/>
        <v>38168631</v>
      </c>
      <c r="Y26" s="546" t="str">
        <f t="shared" si="4"/>
        <v>Đ</v>
      </c>
    </row>
    <row r="27" spans="1:25" ht="19.5" customHeight="1">
      <c r="A27" s="436" t="s">
        <v>104</v>
      </c>
      <c r="B27" s="528" t="s">
        <v>556</v>
      </c>
      <c r="C27" s="521">
        <f>+D27+E27</f>
        <v>26418574</v>
      </c>
      <c r="D27" s="597">
        <v>17698430</v>
      </c>
      <c r="E27" s="583">
        <v>8720144</v>
      </c>
      <c r="F27" s="583"/>
      <c r="G27" s="583"/>
      <c r="H27" s="521">
        <f t="shared" si="15"/>
        <v>26418574</v>
      </c>
      <c r="I27" s="521">
        <f t="shared" si="16"/>
        <v>19268698</v>
      </c>
      <c r="J27" s="583">
        <v>8264258</v>
      </c>
      <c r="K27" s="583">
        <v>430543</v>
      </c>
      <c r="L27" s="584" t="s">
        <v>570</v>
      </c>
      <c r="M27" s="583">
        <v>10570045</v>
      </c>
      <c r="N27" s="583"/>
      <c r="O27" s="555"/>
      <c r="P27" s="584"/>
      <c r="Q27" s="583">
        <v>1</v>
      </c>
      <c r="R27" s="583">
        <v>7149876</v>
      </c>
      <c r="S27" s="472">
        <f t="shared" si="17"/>
        <v>17719922</v>
      </c>
      <c r="T27" s="473">
        <f t="shared" si="1"/>
        <v>45.14395316175489</v>
      </c>
      <c r="U27" s="536">
        <f t="shared" si="7"/>
        <v>0.7293617740306498</v>
      </c>
      <c r="V27" s="482"/>
      <c r="W27" s="545">
        <f t="shared" si="18"/>
        <v>0</v>
      </c>
      <c r="X27" s="448">
        <f t="shared" si="3"/>
        <v>17719922</v>
      </c>
      <c r="Y27" s="546" t="str">
        <f t="shared" si="4"/>
        <v>Đ</v>
      </c>
    </row>
    <row r="28" spans="1:25" ht="19.5" customHeight="1">
      <c r="A28" s="436" t="s">
        <v>106</v>
      </c>
      <c r="B28" s="528" t="s">
        <v>499</v>
      </c>
      <c r="C28" s="521">
        <f t="shared" si="14"/>
        <v>29425375</v>
      </c>
      <c r="D28" s="597">
        <v>24445756</v>
      </c>
      <c r="E28" s="583">
        <f>4979619</f>
        <v>4979619</v>
      </c>
      <c r="F28" s="583">
        <v>872172</v>
      </c>
      <c r="G28" s="583"/>
      <c r="H28" s="521">
        <f t="shared" si="15"/>
        <v>28553203</v>
      </c>
      <c r="I28" s="521">
        <f t="shared" si="16"/>
        <v>11811239</v>
      </c>
      <c r="J28" s="583">
        <f>3691616</f>
        <v>3691616</v>
      </c>
      <c r="K28" s="583">
        <v>361211</v>
      </c>
      <c r="L28" s="584"/>
      <c r="M28" s="583">
        <v>7303007</v>
      </c>
      <c r="N28" s="583">
        <v>102625</v>
      </c>
      <c r="O28" s="583"/>
      <c r="P28" s="584"/>
      <c r="Q28" s="583">
        <v>352780</v>
      </c>
      <c r="R28" s="583">
        <v>16741964</v>
      </c>
      <c r="S28" s="472">
        <f t="shared" si="17"/>
        <v>24500376</v>
      </c>
      <c r="T28" s="473">
        <f t="shared" si="1"/>
        <v>34.31330955202922</v>
      </c>
      <c r="U28" s="536">
        <f t="shared" si="7"/>
        <v>0.41365723488184497</v>
      </c>
      <c r="V28" s="482"/>
      <c r="W28" s="545"/>
      <c r="X28" s="448">
        <f t="shared" si="3"/>
        <v>24500376</v>
      </c>
      <c r="Y28" s="546" t="str">
        <f t="shared" si="4"/>
        <v>Đ</v>
      </c>
    </row>
    <row r="29" spans="1:25" ht="19.5" customHeight="1">
      <c r="A29" s="436" t="s">
        <v>107</v>
      </c>
      <c r="B29" s="528" t="s">
        <v>498</v>
      </c>
      <c r="C29" s="521">
        <f t="shared" si="14"/>
        <v>40307894</v>
      </c>
      <c r="D29" s="597">
        <v>33232699</v>
      </c>
      <c r="E29" s="583">
        <v>7075195</v>
      </c>
      <c r="F29" s="583">
        <v>5000</v>
      </c>
      <c r="G29" s="583"/>
      <c r="H29" s="521">
        <f t="shared" si="15"/>
        <v>40302894</v>
      </c>
      <c r="I29" s="521">
        <f t="shared" si="16"/>
        <v>17502327</v>
      </c>
      <c r="J29" s="583">
        <v>5337224</v>
      </c>
      <c r="K29" s="583">
        <v>2264915</v>
      </c>
      <c r="L29" s="584"/>
      <c r="M29" s="583">
        <f>9900188</f>
        <v>9900188</v>
      </c>
      <c r="N29" s="584"/>
      <c r="O29" s="583"/>
      <c r="P29" s="584"/>
      <c r="Q29" s="583"/>
      <c r="R29" s="583">
        <v>22800567</v>
      </c>
      <c r="S29" s="472">
        <f t="shared" si="17"/>
        <v>32700755</v>
      </c>
      <c r="T29" s="473">
        <f t="shared" si="1"/>
        <v>43.43501866923181</v>
      </c>
      <c r="U29" s="536">
        <f t="shared" si="7"/>
        <v>0.43426973259041896</v>
      </c>
      <c r="V29" s="482"/>
      <c r="W29" s="545">
        <f t="shared" si="18"/>
        <v>0</v>
      </c>
      <c r="X29" s="448">
        <f t="shared" si="3"/>
        <v>32700755</v>
      </c>
      <c r="Y29" s="546" t="str">
        <f t="shared" si="4"/>
        <v>Đ</v>
      </c>
    </row>
    <row r="30" spans="1:25" ht="19.5" customHeight="1">
      <c r="A30" s="436" t="s">
        <v>109</v>
      </c>
      <c r="B30" s="528" t="s">
        <v>540</v>
      </c>
      <c r="C30" s="521">
        <f t="shared" si="14"/>
        <v>28242362</v>
      </c>
      <c r="D30" s="597">
        <v>15543503</v>
      </c>
      <c r="E30" s="583">
        <v>12698859</v>
      </c>
      <c r="F30" s="583">
        <v>621935</v>
      </c>
      <c r="G30" s="583">
        <v>3671684</v>
      </c>
      <c r="H30" s="521">
        <f t="shared" si="15"/>
        <v>27620427</v>
      </c>
      <c r="I30" s="521">
        <f t="shared" si="16"/>
        <v>19118481</v>
      </c>
      <c r="J30" s="583">
        <f>6020972</f>
        <v>6020972</v>
      </c>
      <c r="K30" s="583">
        <v>4768306</v>
      </c>
      <c r="L30" s="584"/>
      <c r="M30" s="583">
        <v>7507205</v>
      </c>
      <c r="N30" s="583">
        <v>821998</v>
      </c>
      <c r="O30" s="555"/>
      <c r="P30" s="584"/>
      <c r="Q30" s="583"/>
      <c r="R30" s="583">
        <v>8501946</v>
      </c>
      <c r="S30" s="472">
        <f t="shared" si="17"/>
        <v>16831149</v>
      </c>
      <c r="T30" s="473">
        <f t="shared" si="1"/>
        <v>56.43376165711073</v>
      </c>
      <c r="U30" s="536">
        <f t="shared" si="7"/>
        <v>0.6921862938614236</v>
      </c>
      <c r="V30" s="482"/>
      <c r="W30" s="545">
        <f t="shared" si="18"/>
        <v>-3671684</v>
      </c>
      <c r="X30" s="448">
        <f t="shared" si="3"/>
        <v>16831149</v>
      </c>
      <c r="Y30" s="546" t="str">
        <f t="shared" si="4"/>
        <v>Đ</v>
      </c>
    </row>
    <row r="31" spans="1:25" ht="19.5" customHeight="1">
      <c r="A31" s="436" t="s">
        <v>110</v>
      </c>
      <c r="B31" s="528" t="s">
        <v>544</v>
      </c>
      <c r="C31" s="521">
        <f t="shared" si="14"/>
        <v>8218012</v>
      </c>
      <c r="D31" s="555">
        <v>4593451</v>
      </c>
      <c r="E31" s="583">
        <v>3624561</v>
      </c>
      <c r="F31" s="583">
        <v>12528</v>
      </c>
      <c r="G31" s="583"/>
      <c r="H31" s="521">
        <f t="shared" si="15"/>
        <v>8205484</v>
      </c>
      <c r="I31" s="521">
        <f t="shared" si="16"/>
        <v>5343622</v>
      </c>
      <c r="J31" s="583">
        <v>1348782</v>
      </c>
      <c r="K31" s="583">
        <v>1236115</v>
      </c>
      <c r="L31" s="584"/>
      <c r="M31" s="583">
        <v>2758725</v>
      </c>
      <c r="N31" s="583">
        <v>0</v>
      </c>
      <c r="O31" s="555"/>
      <c r="P31" s="584"/>
      <c r="Q31" s="583"/>
      <c r="R31" s="583">
        <v>2861862</v>
      </c>
      <c r="S31" s="472">
        <f t="shared" si="17"/>
        <v>5620587</v>
      </c>
      <c r="T31" s="473">
        <f t="shared" si="1"/>
        <v>48.37350022138542</v>
      </c>
      <c r="U31" s="536">
        <f t="shared" si="7"/>
        <v>0.65122569247591</v>
      </c>
      <c r="V31" s="482"/>
      <c r="W31" s="545">
        <f t="shared" si="18"/>
        <v>0</v>
      </c>
      <c r="X31" s="448">
        <f t="shared" si="3"/>
        <v>5620587</v>
      </c>
      <c r="Y31" s="546" t="str">
        <f t="shared" si="4"/>
        <v>Đ</v>
      </c>
    </row>
    <row r="32" spans="1:25" ht="19.5" customHeight="1">
      <c r="A32" s="436" t="s">
        <v>123</v>
      </c>
      <c r="B32" s="527" t="s">
        <v>557</v>
      </c>
      <c r="C32" s="521">
        <f t="shared" si="14"/>
        <v>10966519</v>
      </c>
      <c r="D32" s="555">
        <v>7140439</v>
      </c>
      <c r="E32" s="583">
        <f>3820072+6000+8</f>
        <v>3826080</v>
      </c>
      <c r="F32" s="583">
        <v>824265</v>
      </c>
      <c r="G32" s="583"/>
      <c r="H32" s="521">
        <f t="shared" si="15"/>
        <v>10142254</v>
      </c>
      <c r="I32" s="521">
        <f t="shared" si="16"/>
        <v>7980382</v>
      </c>
      <c r="J32" s="583">
        <f>1081247-346+300</f>
        <v>1081201</v>
      </c>
      <c r="K32" s="583">
        <f>2643773+35</f>
        <v>2643808</v>
      </c>
      <c r="L32" s="583"/>
      <c r="M32" s="583">
        <f>4255357-4984+5000</f>
        <v>4255373</v>
      </c>
      <c r="N32" s="583"/>
      <c r="O32" s="471"/>
      <c r="P32" s="584"/>
      <c r="Q32" s="583"/>
      <c r="R32" s="583">
        <f>2161872</f>
        <v>2161872</v>
      </c>
      <c r="S32" s="472">
        <f t="shared" si="17"/>
        <v>6417245</v>
      </c>
      <c r="T32" s="473">
        <f t="shared" si="1"/>
        <v>46.67707636050505</v>
      </c>
      <c r="U32" s="536">
        <f t="shared" si="7"/>
        <v>0.7868450149246903</v>
      </c>
      <c r="V32" s="482"/>
      <c r="W32" s="545">
        <f t="shared" si="18"/>
        <v>0</v>
      </c>
      <c r="X32" s="448">
        <f t="shared" si="3"/>
        <v>6417245</v>
      </c>
      <c r="Y32" s="546" t="str">
        <f t="shared" si="4"/>
        <v>Đ</v>
      </c>
    </row>
    <row r="33" spans="1:25" ht="19.5" customHeight="1">
      <c r="A33" s="469" t="s">
        <v>44</v>
      </c>
      <c r="B33" s="470" t="s">
        <v>497</v>
      </c>
      <c r="C33" s="521">
        <f>+C34+C35+C36+C37+C38</f>
        <v>134881004</v>
      </c>
      <c r="D33" s="521">
        <f aca="true" t="shared" si="19" ref="D33:S33">+D34+D35+D36+D37+D38</f>
        <v>63860512</v>
      </c>
      <c r="E33" s="521">
        <f t="shared" si="19"/>
        <v>71020492</v>
      </c>
      <c r="F33" s="521">
        <f t="shared" si="19"/>
        <v>40785110</v>
      </c>
      <c r="G33" s="521">
        <f t="shared" si="19"/>
        <v>0</v>
      </c>
      <c r="H33" s="521">
        <f t="shared" si="19"/>
        <v>94095894</v>
      </c>
      <c r="I33" s="521">
        <f t="shared" si="19"/>
        <v>70802498</v>
      </c>
      <c r="J33" s="521">
        <f t="shared" si="19"/>
        <v>18376431</v>
      </c>
      <c r="K33" s="521">
        <f t="shared" si="19"/>
        <v>3656463</v>
      </c>
      <c r="L33" s="521">
        <f t="shared" si="19"/>
        <v>0</v>
      </c>
      <c r="M33" s="521">
        <f t="shared" si="19"/>
        <v>48769604</v>
      </c>
      <c r="N33" s="521">
        <f t="shared" si="19"/>
        <v>0</v>
      </c>
      <c r="O33" s="521">
        <f t="shared" si="19"/>
        <v>0</v>
      </c>
      <c r="P33" s="521">
        <f t="shared" si="19"/>
        <v>0</v>
      </c>
      <c r="Q33" s="521">
        <f t="shared" si="19"/>
        <v>0</v>
      </c>
      <c r="R33" s="521">
        <f t="shared" si="19"/>
        <v>23293396</v>
      </c>
      <c r="S33" s="521">
        <f t="shared" si="19"/>
        <v>72063000</v>
      </c>
      <c r="T33" s="468">
        <f t="shared" si="1"/>
        <v>31.11880883072798</v>
      </c>
      <c r="U33" s="536">
        <f t="shared" si="7"/>
        <v>0.7524504523013512</v>
      </c>
      <c r="V33" s="521">
        <f>+V34+V35+V36+V37+V38</f>
        <v>0</v>
      </c>
      <c r="W33" s="545">
        <f t="shared" si="18"/>
        <v>0</v>
      </c>
      <c r="X33" s="448">
        <f t="shared" si="3"/>
        <v>72063000</v>
      </c>
      <c r="Y33" s="546" t="str">
        <f t="shared" si="4"/>
        <v>Đ</v>
      </c>
    </row>
    <row r="34" spans="1:25" ht="19.5" customHeight="1">
      <c r="A34" s="436" t="s">
        <v>47</v>
      </c>
      <c r="B34" s="476" t="s">
        <v>542</v>
      </c>
      <c r="C34" s="521">
        <f>+D34+E34</f>
        <v>12401349</v>
      </c>
      <c r="D34" s="598">
        <v>6587045</v>
      </c>
      <c r="E34" s="598">
        <v>5814304</v>
      </c>
      <c r="F34" s="599">
        <v>469675</v>
      </c>
      <c r="G34" s="599"/>
      <c r="H34" s="521">
        <f>SUM(I34,R34)</f>
        <v>11931674</v>
      </c>
      <c r="I34" s="521">
        <f>+J34+K34+L34+M34+N34+O34+P34+Q34</f>
        <v>8683129</v>
      </c>
      <c r="J34" s="599">
        <v>1526710</v>
      </c>
      <c r="K34" s="599">
        <v>1464385</v>
      </c>
      <c r="L34" s="599">
        <v>0</v>
      </c>
      <c r="M34" s="599">
        <v>5692034</v>
      </c>
      <c r="N34" s="599">
        <v>0</v>
      </c>
      <c r="O34" s="599"/>
      <c r="P34" s="599"/>
      <c r="Q34" s="599">
        <v>0</v>
      </c>
      <c r="R34" s="599">
        <v>3248545</v>
      </c>
      <c r="S34" s="472">
        <f t="shared" si="17"/>
        <v>8940579</v>
      </c>
      <c r="T34" s="473">
        <f t="shared" si="1"/>
        <v>34.4472021548914</v>
      </c>
      <c r="U34" s="536">
        <f t="shared" si="7"/>
        <v>0.727737700510423</v>
      </c>
      <c r="V34" s="482"/>
      <c r="W34" s="545">
        <f t="shared" si="18"/>
        <v>0</v>
      </c>
      <c r="X34" s="448">
        <f t="shared" si="3"/>
        <v>8940579</v>
      </c>
      <c r="Y34" s="546" t="str">
        <f t="shared" si="4"/>
        <v>Đ</v>
      </c>
    </row>
    <row r="35" spans="1:25" ht="19.5" customHeight="1">
      <c r="A35" s="436" t="s">
        <v>48</v>
      </c>
      <c r="B35" s="477" t="s">
        <v>496</v>
      </c>
      <c r="C35" s="521">
        <f aca="true" t="shared" si="20" ref="C35:C46">+D35+E35</f>
        <v>13943152</v>
      </c>
      <c r="D35" s="598">
        <v>7454667</v>
      </c>
      <c r="E35" s="598">
        <v>6488485</v>
      </c>
      <c r="F35" s="599">
        <v>1260771</v>
      </c>
      <c r="G35" s="599"/>
      <c r="H35" s="521">
        <f>SUM(I35,R35)</f>
        <v>12682381</v>
      </c>
      <c r="I35" s="521">
        <f>+J35+K35+L35+M35+N35+O35+P35+Q35</f>
        <v>8831411</v>
      </c>
      <c r="J35" s="599">
        <v>2142919</v>
      </c>
      <c r="K35" s="599">
        <v>5002</v>
      </c>
      <c r="L35" s="599"/>
      <c r="M35" s="599">
        <v>6683490</v>
      </c>
      <c r="N35" s="599"/>
      <c r="O35" s="599"/>
      <c r="P35" s="599"/>
      <c r="Q35" s="599"/>
      <c r="R35" s="599">
        <v>3850970</v>
      </c>
      <c r="S35" s="472">
        <f t="shared" si="17"/>
        <v>10534460</v>
      </c>
      <c r="T35" s="473">
        <f t="shared" si="1"/>
        <v>24.321379675342932</v>
      </c>
      <c r="U35" s="536">
        <f t="shared" si="7"/>
        <v>0.6963527589969107</v>
      </c>
      <c r="V35" s="482"/>
      <c r="W35" s="545">
        <f t="shared" si="18"/>
        <v>0</v>
      </c>
      <c r="X35" s="448">
        <f t="shared" si="3"/>
        <v>10534460</v>
      </c>
      <c r="Y35" s="546" t="str">
        <f t="shared" si="4"/>
        <v>Đ</v>
      </c>
    </row>
    <row r="36" spans="1:25" ht="19.5" customHeight="1">
      <c r="A36" s="436" t="s">
        <v>495</v>
      </c>
      <c r="B36" s="477" t="s">
        <v>500</v>
      </c>
      <c r="C36" s="521">
        <f t="shared" si="20"/>
        <v>36608099</v>
      </c>
      <c r="D36" s="599">
        <v>29325050</v>
      </c>
      <c r="E36" s="599">
        <v>7283049</v>
      </c>
      <c r="F36" s="599">
        <v>206400</v>
      </c>
      <c r="G36" s="599"/>
      <c r="H36" s="521">
        <f>SUM(I36,R36)</f>
        <v>36401699</v>
      </c>
      <c r="I36" s="521">
        <f>+J36+K36+L36+M36+N36+O36+P36+Q36</f>
        <v>28156321</v>
      </c>
      <c r="J36" s="599">
        <v>4707117</v>
      </c>
      <c r="K36" s="599">
        <v>1694566</v>
      </c>
      <c r="L36" s="599"/>
      <c r="M36" s="599">
        <v>21754638</v>
      </c>
      <c r="N36" s="599"/>
      <c r="O36" s="599"/>
      <c r="P36" s="599"/>
      <c r="Q36" s="599">
        <v>0</v>
      </c>
      <c r="R36" s="599">
        <v>8245378</v>
      </c>
      <c r="S36" s="472">
        <f t="shared" si="17"/>
        <v>30000016</v>
      </c>
      <c r="T36" s="473">
        <f t="shared" si="1"/>
        <v>22.736219692906612</v>
      </c>
      <c r="U36" s="536">
        <f t="shared" si="7"/>
        <v>0.77348919895195</v>
      </c>
      <c r="V36" s="482"/>
      <c r="W36" s="545">
        <f t="shared" si="18"/>
        <v>0</v>
      </c>
      <c r="X36" s="448">
        <f t="shared" si="3"/>
        <v>30000016</v>
      </c>
      <c r="Y36" s="546" t="str">
        <f t="shared" si="4"/>
        <v>Đ</v>
      </c>
    </row>
    <row r="37" spans="1:25" ht="19.5" customHeight="1">
      <c r="A37" s="436" t="s">
        <v>493</v>
      </c>
      <c r="B37" s="477" t="s">
        <v>492</v>
      </c>
      <c r="C37" s="521">
        <f t="shared" si="20"/>
        <v>48890276</v>
      </c>
      <c r="D37" s="599">
        <v>6675741</v>
      </c>
      <c r="E37" s="599">
        <v>42214535</v>
      </c>
      <c r="F37" s="599">
        <v>34396939</v>
      </c>
      <c r="G37" s="599"/>
      <c r="H37" s="521">
        <f>SUM(I37,R37)</f>
        <v>14493337</v>
      </c>
      <c r="I37" s="521">
        <f>+J37+K37+L37+M37+N37+O37+P37+Q37</f>
        <v>9964261</v>
      </c>
      <c r="J37" s="599">
        <v>4793394</v>
      </c>
      <c r="K37" s="599">
        <v>389195</v>
      </c>
      <c r="L37" s="599"/>
      <c r="M37" s="599">
        <v>4781672</v>
      </c>
      <c r="N37" s="599"/>
      <c r="O37" s="599"/>
      <c r="P37" s="599"/>
      <c r="Q37" s="599"/>
      <c r="R37" s="599">
        <v>4529076</v>
      </c>
      <c r="S37" s="472">
        <f t="shared" si="17"/>
        <v>9310748</v>
      </c>
      <c r="T37" s="473">
        <f t="shared" si="1"/>
        <v>52.011774882251686</v>
      </c>
      <c r="U37" s="536">
        <f t="shared" si="7"/>
        <v>0.687506334807505</v>
      </c>
      <c r="V37" s="482"/>
      <c r="W37" s="545">
        <f t="shared" si="18"/>
        <v>0</v>
      </c>
      <c r="X37" s="448">
        <f t="shared" si="3"/>
        <v>9310748</v>
      </c>
      <c r="Y37" s="546" t="str">
        <f t="shared" si="4"/>
        <v>Đ</v>
      </c>
    </row>
    <row r="38" spans="1:25" ht="19.5" customHeight="1">
      <c r="A38" s="436" t="s">
        <v>545</v>
      </c>
      <c r="B38" s="477" t="s">
        <v>546</v>
      </c>
      <c r="C38" s="521">
        <f t="shared" si="20"/>
        <v>23038128</v>
      </c>
      <c r="D38" s="599">
        <v>13818009</v>
      </c>
      <c r="E38" s="599">
        <v>9220119</v>
      </c>
      <c r="F38" s="599">
        <v>4451325</v>
      </c>
      <c r="G38" s="599"/>
      <c r="H38" s="521">
        <f>SUM(I38,R38)</f>
        <v>18586803</v>
      </c>
      <c r="I38" s="521">
        <f>+J38+K38+L38+M38+N38+O38+P38+Q38</f>
        <v>15167376</v>
      </c>
      <c r="J38" s="599">
        <v>5206291</v>
      </c>
      <c r="K38" s="599">
        <v>103315</v>
      </c>
      <c r="L38" s="599"/>
      <c r="M38" s="599">
        <v>9857770</v>
      </c>
      <c r="N38" s="599"/>
      <c r="O38" s="599"/>
      <c r="P38" s="599"/>
      <c r="Q38" s="599">
        <v>0</v>
      </c>
      <c r="R38" s="599">
        <v>3419427</v>
      </c>
      <c r="S38" s="472">
        <f t="shared" si="17"/>
        <v>13277197</v>
      </c>
      <c r="T38" s="473">
        <f t="shared" si="1"/>
        <v>35.00675396983631</v>
      </c>
      <c r="U38" s="536">
        <f t="shared" si="7"/>
        <v>0.8160293085368151</v>
      </c>
      <c r="V38" s="482"/>
      <c r="W38" s="545">
        <f t="shared" si="18"/>
        <v>0</v>
      </c>
      <c r="X38" s="448">
        <f t="shared" si="3"/>
        <v>13277197</v>
      </c>
      <c r="Y38" s="546" t="str">
        <f t="shared" si="4"/>
        <v>Đ</v>
      </c>
    </row>
    <row r="39" spans="1:25" ht="19.5" customHeight="1">
      <c r="A39" s="469" t="s">
        <v>49</v>
      </c>
      <c r="B39" s="470" t="s">
        <v>491</v>
      </c>
      <c r="C39" s="521">
        <f>+C40+C41+C42+C43</f>
        <v>50910859</v>
      </c>
      <c r="D39" s="521">
        <f>+D40+D41+D42+D43</f>
        <v>35061438</v>
      </c>
      <c r="E39" s="521">
        <f>+E40+E41+E42+E43</f>
        <v>15849421</v>
      </c>
      <c r="F39" s="521">
        <f>+F40+F41+F42+F43</f>
        <v>962743</v>
      </c>
      <c r="G39" s="521">
        <f>+G40+G41+G42+G43</f>
        <v>0</v>
      </c>
      <c r="H39" s="521">
        <f aca="true" t="shared" si="21" ref="H39:S39">+H40+H41+H42+H43</f>
        <v>49948116</v>
      </c>
      <c r="I39" s="521">
        <f t="shared" si="21"/>
        <v>24774726</v>
      </c>
      <c r="J39" s="521">
        <f t="shared" si="21"/>
        <v>5354628</v>
      </c>
      <c r="K39" s="521">
        <f t="shared" si="21"/>
        <v>1562127</v>
      </c>
      <c r="L39" s="521">
        <f t="shared" si="21"/>
        <v>0</v>
      </c>
      <c r="M39" s="521">
        <f t="shared" si="21"/>
        <v>17350164</v>
      </c>
      <c r="N39" s="521">
        <f t="shared" si="21"/>
        <v>396967</v>
      </c>
      <c r="O39" s="521">
        <f t="shared" si="21"/>
        <v>0</v>
      </c>
      <c r="P39" s="521">
        <f t="shared" si="21"/>
        <v>0</v>
      </c>
      <c r="Q39" s="521">
        <f t="shared" si="21"/>
        <v>110840</v>
      </c>
      <c r="R39" s="521">
        <f t="shared" si="21"/>
        <v>25173390</v>
      </c>
      <c r="S39" s="521">
        <f t="shared" si="21"/>
        <v>43031361</v>
      </c>
      <c r="T39" s="473">
        <f t="shared" si="1"/>
        <v>27.918593327732466</v>
      </c>
      <c r="U39" s="536">
        <f t="shared" si="7"/>
        <v>0.49600921884621235</v>
      </c>
      <c r="V39" s="521">
        <f>+V40+V41+V42+V43</f>
        <v>0</v>
      </c>
      <c r="W39" s="545">
        <f t="shared" si="18"/>
        <v>0</v>
      </c>
      <c r="X39" s="448">
        <f t="shared" si="3"/>
        <v>43031361</v>
      </c>
      <c r="Y39" s="546" t="str">
        <f t="shared" si="4"/>
        <v>Đ</v>
      </c>
    </row>
    <row r="40" spans="1:25" ht="19.5" customHeight="1">
      <c r="A40" s="436" t="s">
        <v>113</v>
      </c>
      <c r="B40" s="435" t="s">
        <v>490</v>
      </c>
      <c r="C40" s="521">
        <f t="shared" si="20"/>
        <v>9151710</v>
      </c>
      <c r="D40" s="600">
        <v>7654006</v>
      </c>
      <c r="E40" s="600">
        <v>1497704</v>
      </c>
      <c r="F40" s="600">
        <v>0</v>
      </c>
      <c r="G40" s="471"/>
      <c r="H40" s="521">
        <f aca="true" t="shared" si="22" ref="H40:H79">+I40+R40</f>
        <v>9151710</v>
      </c>
      <c r="I40" s="521">
        <f>+J40+K40+L40+M40+N40+O40+P40+Q40</f>
        <v>4444342</v>
      </c>
      <c r="J40" s="600">
        <v>209159</v>
      </c>
      <c r="K40" s="600">
        <v>219155</v>
      </c>
      <c r="L40" s="600">
        <v>0</v>
      </c>
      <c r="M40" s="600">
        <v>4016028</v>
      </c>
      <c r="N40" s="600"/>
      <c r="O40" s="600"/>
      <c r="P40" s="600"/>
      <c r="Q40" s="600"/>
      <c r="R40" s="600">
        <v>4707368</v>
      </c>
      <c r="S40" s="475">
        <f>+R40+Q40+P40+O40+N40+M40</f>
        <v>8723396</v>
      </c>
      <c r="T40" s="473">
        <f t="shared" si="1"/>
        <v>9.637287139468565</v>
      </c>
      <c r="U40" s="536">
        <f t="shared" si="7"/>
        <v>0.48562968013628055</v>
      </c>
      <c r="V40" s="482"/>
      <c r="W40" s="545">
        <f t="shared" si="18"/>
        <v>0</v>
      </c>
      <c r="X40" s="448">
        <f t="shared" si="3"/>
        <v>8723396</v>
      </c>
      <c r="Y40" s="546" t="str">
        <f t="shared" si="4"/>
        <v>Đ</v>
      </c>
    </row>
    <row r="41" spans="1:25" ht="19.5" customHeight="1">
      <c r="A41" s="436" t="s">
        <v>114</v>
      </c>
      <c r="B41" s="435" t="s">
        <v>489</v>
      </c>
      <c r="C41" s="521">
        <f t="shared" si="20"/>
        <v>11369972</v>
      </c>
      <c r="D41" s="600">
        <v>8835895</v>
      </c>
      <c r="E41" s="600">
        <v>2534077</v>
      </c>
      <c r="F41" s="600">
        <v>441210</v>
      </c>
      <c r="G41" s="471"/>
      <c r="H41" s="521">
        <f t="shared" si="22"/>
        <v>10928762</v>
      </c>
      <c r="I41" s="521">
        <f>+J41+K41+L41+M41+N41+O41+P41+Q41</f>
        <v>3553007</v>
      </c>
      <c r="J41" s="600">
        <v>1604686</v>
      </c>
      <c r="K41" s="600">
        <v>82946</v>
      </c>
      <c r="L41" s="600">
        <v>0</v>
      </c>
      <c r="M41" s="600">
        <v>1865375</v>
      </c>
      <c r="N41" s="600"/>
      <c r="O41" s="600"/>
      <c r="P41" s="600"/>
      <c r="Q41" s="600"/>
      <c r="R41" s="600">
        <v>7375755</v>
      </c>
      <c r="S41" s="475">
        <f>+R41+Q41+P41+O41+N41+M41</f>
        <v>9241130</v>
      </c>
      <c r="T41" s="473">
        <f t="shared" si="1"/>
        <v>47.49869617481755</v>
      </c>
      <c r="U41" s="536">
        <f t="shared" si="7"/>
        <v>0.3251060824638692</v>
      </c>
      <c r="V41" s="482"/>
      <c r="W41" s="545">
        <f t="shared" si="18"/>
        <v>0</v>
      </c>
      <c r="X41" s="448">
        <f t="shared" si="3"/>
        <v>9241130</v>
      </c>
      <c r="Y41" s="546" t="str">
        <f t="shared" si="4"/>
        <v>Đ</v>
      </c>
    </row>
    <row r="42" spans="1:25" ht="19.5" customHeight="1">
      <c r="A42" s="436" t="s">
        <v>115</v>
      </c>
      <c r="B42" s="435" t="s">
        <v>558</v>
      </c>
      <c r="C42" s="521">
        <f t="shared" si="20"/>
        <v>16963614</v>
      </c>
      <c r="D42" s="600">
        <v>8884591</v>
      </c>
      <c r="E42" s="600">
        <v>8079023</v>
      </c>
      <c r="F42" s="600">
        <v>521533</v>
      </c>
      <c r="G42" s="471"/>
      <c r="H42" s="521">
        <f t="shared" si="22"/>
        <v>16442081</v>
      </c>
      <c r="I42" s="521">
        <f>+J42+K42+L42+M42+N42+O42+P42+Q42</f>
        <v>10603025</v>
      </c>
      <c r="J42" s="600">
        <v>2288614</v>
      </c>
      <c r="K42" s="600">
        <v>184514</v>
      </c>
      <c r="L42" s="600"/>
      <c r="M42" s="600">
        <v>8019057</v>
      </c>
      <c r="N42" s="600"/>
      <c r="O42" s="600"/>
      <c r="P42" s="600"/>
      <c r="Q42" s="600">
        <v>110840</v>
      </c>
      <c r="R42" s="600">
        <v>5839056</v>
      </c>
      <c r="S42" s="475">
        <f>+R42+Q42+P42+O42+N42+M42</f>
        <v>13968953</v>
      </c>
      <c r="T42" s="473">
        <f t="shared" si="1"/>
        <v>23.32473987376244</v>
      </c>
      <c r="U42" s="536">
        <f t="shared" si="7"/>
        <v>0.6448712301076731</v>
      </c>
      <c r="V42" s="482"/>
      <c r="W42" s="545">
        <f t="shared" si="18"/>
        <v>0</v>
      </c>
      <c r="X42" s="448">
        <f t="shared" si="3"/>
        <v>13968953</v>
      </c>
      <c r="Y42" s="546" t="str">
        <f t="shared" si="4"/>
        <v>Đ</v>
      </c>
    </row>
    <row r="43" spans="1:25" ht="19.5" customHeight="1">
      <c r="A43" s="436" t="s">
        <v>488</v>
      </c>
      <c r="B43" s="535" t="s">
        <v>559</v>
      </c>
      <c r="C43" s="521">
        <f t="shared" si="20"/>
        <v>13425563</v>
      </c>
      <c r="D43" s="600">
        <v>9686946</v>
      </c>
      <c r="E43" s="600">
        <v>3738617</v>
      </c>
      <c r="F43" s="600"/>
      <c r="G43" s="471"/>
      <c r="H43" s="521">
        <f t="shared" si="22"/>
        <v>13425563</v>
      </c>
      <c r="I43" s="521">
        <f>+J43+K43+L43+M43+N43+O43+P43+Q43</f>
        <v>6174352</v>
      </c>
      <c r="J43" s="600">
        <v>1252169</v>
      </c>
      <c r="K43" s="600">
        <v>1075512</v>
      </c>
      <c r="L43" s="600">
        <v>0</v>
      </c>
      <c r="M43" s="600">
        <v>3449704</v>
      </c>
      <c r="N43" s="600">
        <v>396967</v>
      </c>
      <c r="O43" s="600"/>
      <c r="P43" s="600"/>
      <c r="Q43" s="600"/>
      <c r="R43" s="600">
        <v>7251211</v>
      </c>
      <c r="S43" s="475">
        <f>+R43+Q43+P43+O43+N43+M43</f>
        <v>11097882</v>
      </c>
      <c r="T43" s="473">
        <f t="shared" si="1"/>
        <v>37.699194992446174</v>
      </c>
      <c r="U43" s="536">
        <f t="shared" si="7"/>
        <v>0.4598952014153894</v>
      </c>
      <c r="V43" s="482"/>
      <c r="W43" s="545">
        <f t="shared" si="18"/>
        <v>0</v>
      </c>
      <c r="X43" s="448">
        <f t="shared" si="3"/>
        <v>11097882</v>
      </c>
      <c r="Y43" s="546" t="str">
        <f t="shared" si="4"/>
        <v>Đ</v>
      </c>
    </row>
    <row r="44" spans="1:25" ht="19.5" customHeight="1">
      <c r="A44" s="469" t="s">
        <v>58</v>
      </c>
      <c r="B44" s="470" t="s">
        <v>487</v>
      </c>
      <c r="C44" s="521">
        <f t="shared" si="20"/>
        <v>37144289</v>
      </c>
      <c r="D44" s="521">
        <f>SUM(D45:D47)</f>
        <v>20176454</v>
      </c>
      <c r="E44" s="521">
        <f>SUM(E45:E47)</f>
        <v>16967835</v>
      </c>
      <c r="F44" s="521">
        <f>SUM(F45:F47)</f>
        <v>224764</v>
      </c>
      <c r="G44" s="521">
        <f>SUM(G45:G47)</f>
        <v>0</v>
      </c>
      <c r="H44" s="521">
        <f t="shared" si="22"/>
        <v>36919525</v>
      </c>
      <c r="I44" s="521">
        <f>SUM(J44:Q44)</f>
        <v>24145656</v>
      </c>
      <c r="J44" s="521">
        <f aca="true" t="shared" si="23" ref="J44:R44">SUM(J45:J47)</f>
        <v>4436314</v>
      </c>
      <c r="K44" s="521">
        <f t="shared" si="23"/>
        <v>4329825</v>
      </c>
      <c r="L44" s="521">
        <f t="shared" si="23"/>
        <v>0</v>
      </c>
      <c r="M44" s="521">
        <f t="shared" si="23"/>
        <v>15379517</v>
      </c>
      <c r="N44" s="521">
        <f t="shared" si="23"/>
        <v>0</v>
      </c>
      <c r="O44" s="521">
        <f t="shared" si="23"/>
        <v>0</v>
      </c>
      <c r="P44" s="521">
        <f t="shared" si="23"/>
        <v>0</v>
      </c>
      <c r="Q44" s="521">
        <f t="shared" si="23"/>
        <v>0</v>
      </c>
      <c r="R44" s="521">
        <f t="shared" si="23"/>
        <v>12773869</v>
      </c>
      <c r="S44" s="475">
        <f>+R44+Q44+P44+O44+N44+M44</f>
        <v>28153386</v>
      </c>
      <c r="T44" s="468">
        <f t="shared" si="1"/>
        <v>36.30524264902971</v>
      </c>
      <c r="U44" s="536">
        <f t="shared" si="7"/>
        <v>0.6540077641843983</v>
      </c>
      <c r="V44" s="521">
        <f>SUM(V45:V47)</f>
        <v>0</v>
      </c>
      <c r="W44" s="545">
        <f t="shared" si="18"/>
        <v>0</v>
      </c>
      <c r="X44" s="448">
        <f t="shared" si="3"/>
        <v>28153386</v>
      </c>
      <c r="Y44" s="546" t="str">
        <f t="shared" si="4"/>
        <v>Đ</v>
      </c>
    </row>
    <row r="45" spans="1:25" ht="19.5" customHeight="1">
      <c r="A45" s="436" t="s">
        <v>117</v>
      </c>
      <c r="B45" s="435" t="s">
        <v>474</v>
      </c>
      <c r="C45" s="521">
        <f t="shared" si="20"/>
        <v>8855303</v>
      </c>
      <c r="D45" s="601">
        <v>4898425</v>
      </c>
      <c r="E45" s="554">
        <v>3956878</v>
      </c>
      <c r="F45" s="471"/>
      <c r="G45" s="471"/>
      <c r="H45" s="521">
        <f t="shared" si="22"/>
        <v>8855303</v>
      </c>
      <c r="I45" s="521">
        <f>+J45+K45+L45+M45+N45+O45+P45+Q45</f>
        <v>6108248</v>
      </c>
      <c r="J45" s="554">
        <v>1302990</v>
      </c>
      <c r="K45" s="554">
        <v>1996395</v>
      </c>
      <c r="L45" s="436"/>
      <c r="M45" s="554">
        <v>2808863</v>
      </c>
      <c r="N45" s="436"/>
      <c r="O45" s="436"/>
      <c r="P45" s="436"/>
      <c r="Q45" s="436"/>
      <c r="R45" s="602">
        <v>2747055</v>
      </c>
      <c r="S45" s="475">
        <f aca="true" t="shared" si="24" ref="S45:S53">+R45+Q45+P45+O45+N45+M45</f>
        <v>5555918</v>
      </c>
      <c r="T45" s="473">
        <f aca="true" t="shared" si="25" ref="T45:T79">(((J45+K45+L45))/I45)*100</f>
        <v>54.015242996027666</v>
      </c>
      <c r="U45" s="536">
        <f t="shared" si="7"/>
        <v>0.6897841892027862</v>
      </c>
      <c r="V45" s="543"/>
      <c r="W45" s="545">
        <f t="shared" si="18"/>
        <v>0</v>
      </c>
      <c r="X45" s="448">
        <f aca="true" t="shared" si="26" ref="X45:X79">+M45+N45+O45+P45+Q45+R45</f>
        <v>5555918</v>
      </c>
      <c r="Y45" s="546" t="str">
        <f aca="true" t="shared" si="27" ref="Y45:Y79">+IF(X45=S45,"Đ","S")</f>
        <v>Đ</v>
      </c>
    </row>
    <row r="46" spans="1:25" ht="19.5" customHeight="1">
      <c r="A46" s="436" t="s">
        <v>118</v>
      </c>
      <c r="B46" s="435" t="s">
        <v>486</v>
      </c>
      <c r="C46" s="521">
        <f t="shared" si="20"/>
        <v>10412137</v>
      </c>
      <c r="D46" s="601">
        <v>5928654</v>
      </c>
      <c r="E46" s="554">
        <v>4483483</v>
      </c>
      <c r="F46" s="471">
        <v>212564</v>
      </c>
      <c r="G46" s="471"/>
      <c r="H46" s="521">
        <f t="shared" si="22"/>
        <v>10199573</v>
      </c>
      <c r="I46" s="521">
        <f>+J46+K46+L46+M46+N46+O46+P46+Q46</f>
        <v>6159202</v>
      </c>
      <c r="J46" s="554">
        <v>963375</v>
      </c>
      <c r="K46" s="554">
        <v>822739</v>
      </c>
      <c r="L46" s="436"/>
      <c r="M46" s="554">
        <v>4373088</v>
      </c>
      <c r="N46" s="436"/>
      <c r="O46" s="436"/>
      <c r="P46" s="436"/>
      <c r="Q46" s="436"/>
      <c r="R46" s="602">
        <v>4040371</v>
      </c>
      <c r="S46" s="475">
        <f t="shared" si="24"/>
        <v>8413459</v>
      </c>
      <c r="T46" s="473">
        <f t="shared" si="25"/>
        <v>28.99911384624177</v>
      </c>
      <c r="U46" s="536">
        <f t="shared" si="7"/>
        <v>0.6038686129311491</v>
      </c>
      <c r="V46" s="543"/>
      <c r="W46" s="545">
        <f t="shared" si="18"/>
        <v>0</v>
      </c>
      <c r="X46" s="448">
        <f t="shared" si="26"/>
        <v>8413459</v>
      </c>
      <c r="Y46" s="546" t="str">
        <f t="shared" si="27"/>
        <v>Đ</v>
      </c>
    </row>
    <row r="47" spans="1:25" ht="19.5" customHeight="1">
      <c r="A47" s="436" t="s">
        <v>119</v>
      </c>
      <c r="B47" s="435" t="s">
        <v>543</v>
      </c>
      <c r="C47" s="521">
        <f aca="true" t="shared" si="28" ref="C47:C79">+D47+E47</f>
        <v>17876849</v>
      </c>
      <c r="D47" s="601">
        <v>9349375</v>
      </c>
      <c r="E47" s="554">
        <v>8527474</v>
      </c>
      <c r="F47" s="471">
        <v>12200</v>
      </c>
      <c r="G47" s="471"/>
      <c r="H47" s="521">
        <f t="shared" si="22"/>
        <v>17864649</v>
      </c>
      <c r="I47" s="521">
        <f>+J47+K47+L47+M47+N47+O47+P47+Q47</f>
        <v>11878206</v>
      </c>
      <c r="J47" s="554">
        <v>2169949</v>
      </c>
      <c r="K47" s="554">
        <v>1510691</v>
      </c>
      <c r="L47" s="436"/>
      <c r="M47" s="554">
        <v>8197566</v>
      </c>
      <c r="N47" s="436"/>
      <c r="O47" s="436"/>
      <c r="P47" s="436"/>
      <c r="Q47" s="436"/>
      <c r="R47" s="602">
        <v>5986443</v>
      </c>
      <c r="S47" s="475">
        <f t="shared" si="24"/>
        <v>14184009</v>
      </c>
      <c r="T47" s="473">
        <f t="shared" si="25"/>
        <v>30.98649745592895</v>
      </c>
      <c r="U47" s="536">
        <f t="shared" si="7"/>
        <v>0.6649000492536965</v>
      </c>
      <c r="V47" s="543"/>
      <c r="W47" s="545">
        <f t="shared" si="18"/>
        <v>0</v>
      </c>
      <c r="X47" s="448">
        <f t="shared" si="26"/>
        <v>14184009</v>
      </c>
      <c r="Y47" s="546" t="str">
        <f t="shared" si="27"/>
        <v>Đ</v>
      </c>
    </row>
    <row r="48" spans="1:25" ht="19.5" customHeight="1">
      <c r="A48" s="469" t="s">
        <v>59</v>
      </c>
      <c r="B48" s="470" t="s">
        <v>485</v>
      </c>
      <c r="C48" s="472">
        <f>+C49+C50+C51+C53+C52</f>
        <v>46293151</v>
      </c>
      <c r="D48" s="472">
        <f aca="true" t="shared" si="29" ref="D48:P48">+D49+D50+D51+D53+D52</f>
        <v>30210425</v>
      </c>
      <c r="E48" s="472">
        <f t="shared" si="29"/>
        <v>16082726</v>
      </c>
      <c r="F48" s="472">
        <f t="shared" si="29"/>
        <v>1144179</v>
      </c>
      <c r="G48" s="472">
        <f t="shared" si="29"/>
        <v>0</v>
      </c>
      <c r="H48" s="472">
        <f t="shared" si="29"/>
        <v>45148972</v>
      </c>
      <c r="I48" s="472">
        <f t="shared" si="29"/>
        <v>30795826</v>
      </c>
      <c r="J48" s="472">
        <f t="shared" si="29"/>
        <v>5658182</v>
      </c>
      <c r="K48" s="472">
        <f t="shared" si="29"/>
        <v>6940871</v>
      </c>
      <c r="L48" s="472">
        <f t="shared" si="29"/>
        <v>16250</v>
      </c>
      <c r="M48" s="472">
        <f t="shared" si="29"/>
        <v>18027475</v>
      </c>
      <c r="N48" s="472">
        <f t="shared" si="29"/>
        <v>153048</v>
      </c>
      <c r="O48" s="472">
        <f t="shared" si="29"/>
        <v>0</v>
      </c>
      <c r="P48" s="472">
        <f t="shared" si="29"/>
        <v>0</v>
      </c>
      <c r="Q48" s="472">
        <f>+Q49+Q50+Q51+Q53+Q52</f>
        <v>0</v>
      </c>
      <c r="R48" s="472">
        <f>+R49+R50+R51+R53+R52</f>
        <v>14353146</v>
      </c>
      <c r="S48" s="472">
        <f>+S49+S50+S51+S53+S52</f>
        <v>32533669</v>
      </c>
      <c r="T48" s="473">
        <f t="shared" si="25"/>
        <v>40.964327438400254</v>
      </c>
      <c r="U48" s="536">
        <f t="shared" si="7"/>
        <v>0.6820936255204216</v>
      </c>
      <c r="V48" s="472">
        <f>+V49+V50+V51+V53+V52</f>
        <v>0</v>
      </c>
      <c r="W48" s="545">
        <f t="shared" si="18"/>
        <v>0</v>
      </c>
      <c r="X48" s="448">
        <f t="shared" si="26"/>
        <v>32533669</v>
      </c>
      <c r="Y48" s="546" t="str">
        <f t="shared" si="27"/>
        <v>Đ</v>
      </c>
    </row>
    <row r="49" spans="1:25" ht="19.5" customHeight="1">
      <c r="A49" s="476" t="s">
        <v>120</v>
      </c>
      <c r="B49" s="581" t="s">
        <v>572</v>
      </c>
      <c r="C49" s="521">
        <f t="shared" si="28"/>
        <v>10971889</v>
      </c>
      <c r="D49" s="582">
        <v>7019245</v>
      </c>
      <c r="E49" s="582">
        <v>3952644</v>
      </c>
      <c r="F49" s="582">
        <v>20235</v>
      </c>
      <c r="G49" s="471"/>
      <c r="H49" s="521">
        <f t="shared" si="22"/>
        <v>10951654</v>
      </c>
      <c r="I49" s="521">
        <f>+J49+K49+L49+M49+N49+O49+P49+Q49</f>
        <v>7637405</v>
      </c>
      <c r="J49" s="582">
        <v>1779534</v>
      </c>
      <c r="K49" s="582">
        <v>196641</v>
      </c>
      <c r="L49" s="582">
        <v>2500</v>
      </c>
      <c r="M49" s="582">
        <f>C49-(F49+J49+K49+L49+N49+O49+P49+Q49+R49+G49)</f>
        <v>5658730</v>
      </c>
      <c r="N49" s="582">
        <v>0</v>
      </c>
      <c r="O49" s="582">
        <v>0</v>
      </c>
      <c r="P49" s="582">
        <v>0</v>
      </c>
      <c r="Q49" s="582">
        <v>0</v>
      </c>
      <c r="R49" s="582">
        <v>3314249</v>
      </c>
      <c r="S49" s="475">
        <f t="shared" si="24"/>
        <v>8972979</v>
      </c>
      <c r="T49" s="473">
        <f t="shared" si="25"/>
        <v>25.907687231461473</v>
      </c>
      <c r="U49" s="536">
        <f t="shared" si="7"/>
        <v>0.6973745700877694</v>
      </c>
      <c r="V49" s="544"/>
      <c r="W49" s="545">
        <f t="shared" si="18"/>
        <v>0</v>
      </c>
      <c r="X49" s="448">
        <f t="shared" si="26"/>
        <v>8972979</v>
      </c>
      <c r="Y49" s="546" t="str">
        <f t="shared" si="27"/>
        <v>Đ</v>
      </c>
    </row>
    <row r="50" spans="1:25" ht="19.5" customHeight="1">
      <c r="A50" s="476" t="s">
        <v>121</v>
      </c>
      <c r="B50" s="581" t="s">
        <v>484</v>
      </c>
      <c r="C50" s="521">
        <f t="shared" si="28"/>
        <v>1700062</v>
      </c>
      <c r="D50" s="582">
        <v>406376</v>
      </c>
      <c r="E50" s="582">
        <v>1293686</v>
      </c>
      <c r="F50" s="582">
        <v>0</v>
      </c>
      <c r="G50" s="471"/>
      <c r="H50" s="521">
        <f t="shared" si="22"/>
        <v>1700062</v>
      </c>
      <c r="I50" s="521">
        <f>+J50+K50+L50+M50+N50+O50+P50+Q50</f>
        <v>1309826</v>
      </c>
      <c r="J50" s="582">
        <v>860375</v>
      </c>
      <c r="K50" s="582">
        <v>98000</v>
      </c>
      <c r="L50" s="582">
        <v>0</v>
      </c>
      <c r="M50" s="582">
        <f>C50-(F50+J50+K50+L50+N50+O50+P50+Q50+R50+G50)</f>
        <v>351451</v>
      </c>
      <c r="N50" s="582">
        <v>0</v>
      </c>
      <c r="O50" s="582">
        <v>0</v>
      </c>
      <c r="P50" s="582">
        <v>0</v>
      </c>
      <c r="Q50" s="582">
        <v>0</v>
      </c>
      <c r="R50" s="582">
        <v>390236</v>
      </c>
      <c r="S50" s="475">
        <f t="shared" si="24"/>
        <v>741687</v>
      </c>
      <c r="T50" s="473">
        <f t="shared" si="25"/>
        <v>73.16811545961066</v>
      </c>
      <c r="U50" s="536">
        <f t="shared" si="7"/>
        <v>0.7704577833043736</v>
      </c>
      <c r="V50" s="537"/>
      <c r="W50" s="545">
        <f t="shared" si="18"/>
        <v>0</v>
      </c>
      <c r="X50" s="448">
        <f t="shared" si="26"/>
        <v>741687</v>
      </c>
      <c r="Y50" s="546" t="str">
        <f t="shared" si="27"/>
        <v>Đ</v>
      </c>
    </row>
    <row r="51" spans="1:25" ht="19.5" customHeight="1">
      <c r="A51" s="476" t="s">
        <v>122</v>
      </c>
      <c r="B51" s="581" t="s">
        <v>494</v>
      </c>
      <c r="C51" s="521">
        <f t="shared" si="28"/>
        <v>15864925</v>
      </c>
      <c r="D51" s="582">
        <v>10980613</v>
      </c>
      <c r="E51" s="582">
        <v>4884312</v>
      </c>
      <c r="F51" s="582">
        <v>350</v>
      </c>
      <c r="G51" s="471"/>
      <c r="H51" s="521">
        <f t="shared" si="22"/>
        <v>15864575</v>
      </c>
      <c r="I51" s="521">
        <f>+J51+K51+L51+M51+N51+O51+P51+Q51</f>
        <v>10537396</v>
      </c>
      <c r="J51" s="582">
        <v>722452</v>
      </c>
      <c r="K51" s="582">
        <v>5947108</v>
      </c>
      <c r="L51" s="582">
        <v>13750</v>
      </c>
      <c r="M51" s="582">
        <f>C51-(F51+J51+K51+L51+N51+O51+P51+Q51+R51+G51)</f>
        <v>3854085</v>
      </c>
      <c r="N51" s="582">
        <v>1</v>
      </c>
      <c r="O51" s="582">
        <v>0</v>
      </c>
      <c r="P51" s="582">
        <v>0</v>
      </c>
      <c r="Q51" s="582">
        <v>0</v>
      </c>
      <c r="R51" s="582">
        <v>5327179</v>
      </c>
      <c r="S51" s="475">
        <f t="shared" si="24"/>
        <v>9181265</v>
      </c>
      <c r="T51" s="473">
        <f t="shared" si="25"/>
        <v>63.42468291027499</v>
      </c>
      <c r="U51" s="536">
        <f t="shared" si="7"/>
        <v>0.6642091578249023</v>
      </c>
      <c r="V51" s="537"/>
      <c r="W51" s="545">
        <f t="shared" si="18"/>
        <v>0</v>
      </c>
      <c r="X51" s="448">
        <f t="shared" si="26"/>
        <v>9181265</v>
      </c>
      <c r="Y51" s="546" t="str">
        <f t="shared" si="27"/>
        <v>Đ</v>
      </c>
    </row>
    <row r="52" spans="1:25" ht="19.5" customHeight="1">
      <c r="A52" s="476" t="s">
        <v>483</v>
      </c>
      <c r="B52" s="581" t="s">
        <v>573</v>
      </c>
      <c r="C52" s="521">
        <f t="shared" si="28"/>
        <v>9291605</v>
      </c>
      <c r="D52" s="582">
        <v>6229140</v>
      </c>
      <c r="E52" s="582">
        <v>3062465</v>
      </c>
      <c r="F52" s="582">
        <v>106000</v>
      </c>
      <c r="G52" s="471"/>
      <c r="H52" s="521">
        <f t="shared" si="22"/>
        <v>9185605</v>
      </c>
      <c r="I52" s="521">
        <f>+J52+K52+L52+M52+N52+O52+P52+Q52</f>
        <v>6265315</v>
      </c>
      <c r="J52" s="582">
        <v>1285113</v>
      </c>
      <c r="K52" s="582">
        <v>0</v>
      </c>
      <c r="L52" s="582">
        <v>0</v>
      </c>
      <c r="M52" s="582">
        <f>C52-(F52+J52+K52+L52+N52+O52+P52+Q52+R52+G52)</f>
        <v>4827155</v>
      </c>
      <c r="N52" s="582">
        <v>153047</v>
      </c>
      <c r="O52" s="582">
        <v>0</v>
      </c>
      <c r="P52" s="582">
        <v>0</v>
      </c>
      <c r="Q52" s="582">
        <v>0</v>
      </c>
      <c r="R52" s="582">
        <v>2920290</v>
      </c>
      <c r="S52" s="475">
        <f t="shared" si="24"/>
        <v>7900492</v>
      </c>
      <c r="T52" s="473">
        <f t="shared" si="25"/>
        <v>20.511546506440617</v>
      </c>
      <c r="U52" s="536">
        <f t="shared" si="7"/>
        <v>0.6820797323638453</v>
      </c>
      <c r="V52" s="537"/>
      <c r="W52" s="545">
        <f t="shared" si="18"/>
        <v>0</v>
      </c>
      <c r="X52" s="448">
        <f t="shared" si="26"/>
        <v>7900492</v>
      </c>
      <c r="Y52" s="546" t="str">
        <f t="shared" si="27"/>
        <v>Đ</v>
      </c>
    </row>
    <row r="53" spans="1:25" ht="19.5" customHeight="1">
      <c r="A53" s="476" t="s">
        <v>541</v>
      </c>
      <c r="B53" s="581" t="s">
        <v>482</v>
      </c>
      <c r="C53" s="521">
        <f t="shared" si="28"/>
        <v>8464670</v>
      </c>
      <c r="D53" s="582">
        <v>5575051</v>
      </c>
      <c r="E53" s="582">
        <v>2889619</v>
      </c>
      <c r="F53" s="582">
        <v>1017594</v>
      </c>
      <c r="G53" s="471"/>
      <c r="H53" s="521">
        <f t="shared" si="22"/>
        <v>7447076</v>
      </c>
      <c r="I53" s="521">
        <f>+J53+K53+L53+M53+N53+O53+P53+Q53</f>
        <v>5045884</v>
      </c>
      <c r="J53" s="582">
        <v>1010708</v>
      </c>
      <c r="K53" s="582">
        <v>699122</v>
      </c>
      <c r="L53" s="582">
        <v>0</v>
      </c>
      <c r="M53" s="582">
        <f>C53-(F53+J53+K53+L53+N53+O53+P53+Q53+R53+G53)</f>
        <v>3336054</v>
      </c>
      <c r="N53" s="582">
        <v>0</v>
      </c>
      <c r="O53" s="582">
        <v>0</v>
      </c>
      <c r="P53" s="582">
        <v>0</v>
      </c>
      <c r="Q53" s="582">
        <v>0</v>
      </c>
      <c r="R53" s="582">
        <v>2401192</v>
      </c>
      <c r="S53" s="475">
        <f t="shared" si="24"/>
        <v>5737246</v>
      </c>
      <c r="T53" s="473">
        <f t="shared" si="25"/>
        <v>33.88563827468091</v>
      </c>
      <c r="U53" s="536">
        <f t="shared" si="7"/>
        <v>0.6775657989793578</v>
      </c>
      <c r="V53" s="537"/>
      <c r="W53" s="545">
        <f t="shared" si="18"/>
        <v>0</v>
      </c>
      <c r="X53" s="448">
        <f t="shared" si="26"/>
        <v>5737246</v>
      </c>
      <c r="Y53" s="546" t="str">
        <f t="shared" si="27"/>
        <v>Đ</v>
      </c>
    </row>
    <row r="54" spans="1:25" ht="19.5" customHeight="1">
      <c r="A54" s="469" t="s">
        <v>60</v>
      </c>
      <c r="B54" s="470" t="s">
        <v>481</v>
      </c>
      <c r="C54" s="521">
        <f>+C55+C56+C57+C58+C59+C60</f>
        <v>87951358</v>
      </c>
      <c r="D54" s="521">
        <f aca="true" t="shared" si="30" ref="D54:S54">+D55+D56+D57+D58+D59+D60</f>
        <v>63992181</v>
      </c>
      <c r="E54" s="521">
        <f t="shared" si="30"/>
        <v>23959177</v>
      </c>
      <c r="F54" s="521">
        <f t="shared" si="30"/>
        <v>121125</v>
      </c>
      <c r="G54" s="521">
        <f t="shared" si="30"/>
        <v>0</v>
      </c>
      <c r="H54" s="521">
        <f t="shared" si="30"/>
        <v>87830233</v>
      </c>
      <c r="I54" s="521">
        <f t="shared" si="30"/>
        <v>53390626</v>
      </c>
      <c r="J54" s="521">
        <f t="shared" si="30"/>
        <v>14473840</v>
      </c>
      <c r="K54" s="521">
        <f t="shared" si="30"/>
        <v>6222042</v>
      </c>
      <c r="L54" s="521">
        <f t="shared" si="30"/>
        <v>0</v>
      </c>
      <c r="M54" s="521">
        <f t="shared" si="30"/>
        <v>32694744</v>
      </c>
      <c r="N54" s="521">
        <f t="shared" si="30"/>
        <v>0</v>
      </c>
      <c r="O54" s="521">
        <f t="shared" si="30"/>
        <v>0</v>
      </c>
      <c r="P54" s="521">
        <f t="shared" si="30"/>
        <v>0</v>
      </c>
      <c r="Q54" s="521">
        <f t="shared" si="30"/>
        <v>0</v>
      </c>
      <c r="R54" s="521">
        <f t="shared" si="30"/>
        <v>34439607</v>
      </c>
      <c r="S54" s="521">
        <f t="shared" si="30"/>
        <v>67134351</v>
      </c>
      <c r="T54" s="468">
        <f t="shared" si="25"/>
        <v>38.76313793361404</v>
      </c>
      <c r="U54" s="536">
        <f t="shared" si="7"/>
        <v>0.6078843716604965</v>
      </c>
      <c r="V54" s="521">
        <f>+V55+V56+V57+V58+V59+V60</f>
        <v>0</v>
      </c>
      <c r="W54" s="545">
        <f t="shared" si="18"/>
        <v>0</v>
      </c>
      <c r="X54" s="448">
        <f t="shared" si="26"/>
        <v>67134351</v>
      </c>
      <c r="Y54" s="448" t="str">
        <f t="shared" si="27"/>
        <v>Đ</v>
      </c>
    </row>
    <row r="55" spans="1:25" ht="19.5" customHeight="1">
      <c r="A55" s="436" t="s">
        <v>480</v>
      </c>
      <c r="B55" s="435" t="s">
        <v>503</v>
      </c>
      <c r="C55" s="521">
        <f t="shared" si="28"/>
        <v>10592842</v>
      </c>
      <c r="D55" s="600">
        <v>6912108</v>
      </c>
      <c r="E55" s="600">
        <v>3680734</v>
      </c>
      <c r="F55" s="600">
        <v>0</v>
      </c>
      <c r="G55" s="471"/>
      <c r="H55" s="521">
        <f t="shared" si="22"/>
        <v>10592842</v>
      </c>
      <c r="I55" s="521">
        <f aca="true" t="shared" si="31" ref="I55:I79">SUM(J55:Q55)</f>
        <v>6442312</v>
      </c>
      <c r="J55" s="600">
        <v>1152151</v>
      </c>
      <c r="K55" s="600">
        <v>1151747</v>
      </c>
      <c r="L55" s="600">
        <v>0</v>
      </c>
      <c r="M55" s="600">
        <v>4138414</v>
      </c>
      <c r="N55" s="600"/>
      <c r="O55" s="600"/>
      <c r="P55" s="600"/>
      <c r="Q55" s="600"/>
      <c r="R55" s="600">
        <v>4150530</v>
      </c>
      <c r="S55" s="472">
        <f aca="true" t="shared" si="32" ref="S55:S79">SUM(M55:R55)</f>
        <v>8288944</v>
      </c>
      <c r="T55" s="473">
        <f t="shared" si="25"/>
        <v>35.761974893485444</v>
      </c>
      <c r="U55" s="536">
        <f t="shared" si="7"/>
        <v>0.608175973926544</v>
      </c>
      <c r="V55" s="538"/>
      <c r="W55" s="545">
        <f t="shared" si="18"/>
        <v>0</v>
      </c>
      <c r="X55" s="448">
        <f t="shared" si="26"/>
        <v>8288944</v>
      </c>
      <c r="Y55" s="448" t="str">
        <f t="shared" si="27"/>
        <v>Đ</v>
      </c>
    </row>
    <row r="56" spans="1:25" ht="19.5" customHeight="1">
      <c r="A56" s="436" t="s">
        <v>479</v>
      </c>
      <c r="B56" s="435" t="s">
        <v>478</v>
      </c>
      <c r="C56" s="521">
        <f t="shared" si="28"/>
        <v>19168913</v>
      </c>
      <c r="D56" s="600">
        <v>17036315</v>
      </c>
      <c r="E56" s="600">
        <v>2132598</v>
      </c>
      <c r="F56" s="600"/>
      <c r="G56" s="471"/>
      <c r="H56" s="521">
        <f t="shared" si="22"/>
        <v>19168913</v>
      </c>
      <c r="I56" s="521">
        <f t="shared" si="31"/>
        <v>9650079</v>
      </c>
      <c r="J56" s="600">
        <v>3399351</v>
      </c>
      <c r="K56" s="600">
        <v>325598</v>
      </c>
      <c r="L56" s="600">
        <v>0</v>
      </c>
      <c r="M56" s="600">
        <v>5925130</v>
      </c>
      <c r="N56" s="600"/>
      <c r="O56" s="600"/>
      <c r="P56" s="600"/>
      <c r="Q56" s="600"/>
      <c r="R56" s="600">
        <v>9518834</v>
      </c>
      <c r="S56" s="472">
        <f t="shared" si="32"/>
        <v>15443964</v>
      </c>
      <c r="T56" s="473">
        <f t="shared" si="25"/>
        <v>38.60019177045079</v>
      </c>
      <c r="U56" s="536">
        <f t="shared" si="7"/>
        <v>0.5034233813883969</v>
      </c>
      <c r="V56" s="538"/>
      <c r="W56" s="545">
        <f t="shared" si="18"/>
        <v>0</v>
      </c>
      <c r="X56" s="448">
        <f t="shared" si="26"/>
        <v>15443964</v>
      </c>
      <c r="Y56" s="448" t="str">
        <f t="shared" si="27"/>
        <v>Đ</v>
      </c>
    </row>
    <row r="57" spans="1:25" ht="19.5" customHeight="1">
      <c r="A57" s="436" t="s">
        <v>477</v>
      </c>
      <c r="B57" s="435" t="s">
        <v>476</v>
      </c>
      <c r="C57" s="521">
        <f t="shared" si="28"/>
        <v>24152294</v>
      </c>
      <c r="D57" s="600">
        <v>17888328</v>
      </c>
      <c r="E57" s="600">
        <v>6263966</v>
      </c>
      <c r="F57" s="600"/>
      <c r="G57" s="471"/>
      <c r="H57" s="521">
        <f t="shared" si="22"/>
        <v>24152294</v>
      </c>
      <c r="I57" s="521">
        <f t="shared" si="31"/>
        <v>14024063</v>
      </c>
      <c r="J57" s="600">
        <v>4239597</v>
      </c>
      <c r="K57" s="600">
        <v>518386</v>
      </c>
      <c r="L57" s="600"/>
      <c r="M57" s="600">
        <v>9266080</v>
      </c>
      <c r="N57" s="600"/>
      <c r="O57" s="600"/>
      <c r="P57" s="600"/>
      <c r="Q57" s="600"/>
      <c r="R57" s="600">
        <v>10128231</v>
      </c>
      <c r="S57" s="472">
        <f t="shared" si="32"/>
        <v>19394311</v>
      </c>
      <c r="T57" s="473">
        <f t="shared" si="25"/>
        <v>33.927279134441996</v>
      </c>
      <c r="U57" s="536">
        <f t="shared" si="7"/>
        <v>0.5806513865722237</v>
      </c>
      <c r="V57" s="538"/>
      <c r="W57" s="545">
        <f t="shared" si="18"/>
        <v>0</v>
      </c>
      <c r="X57" s="448">
        <f t="shared" si="26"/>
        <v>19394311</v>
      </c>
      <c r="Y57" s="448" t="str">
        <f t="shared" si="27"/>
        <v>Đ</v>
      </c>
    </row>
    <row r="58" spans="1:25" ht="19.5" customHeight="1">
      <c r="A58" s="436" t="s">
        <v>475</v>
      </c>
      <c r="B58" s="435" t="s">
        <v>564</v>
      </c>
      <c r="C58" s="521">
        <f t="shared" si="28"/>
        <v>14842884</v>
      </c>
      <c r="D58" s="600">
        <f>9066690-21204</f>
        <v>9045486</v>
      </c>
      <c r="E58" s="600">
        <v>5797398</v>
      </c>
      <c r="F58" s="600">
        <v>9750</v>
      </c>
      <c r="G58" s="471"/>
      <c r="H58" s="521">
        <f t="shared" si="22"/>
        <v>14833134</v>
      </c>
      <c r="I58" s="521">
        <f t="shared" si="31"/>
        <v>13996468</v>
      </c>
      <c r="J58" s="600">
        <v>2833613</v>
      </c>
      <c r="K58" s="600">
        <v>3579581</v>
      </c>
      <c r="L58" s="600">
        <v>0</v>
      </c>
      <c r="M58" s="600">
        <v>7583274</v>
      </c>
      <c r="N58" s="600"/>
      <c r="O58" s="600"/>
      <c r="P58" s="600"/>
      <c r="Q58" s="600"/>
      <c r="R58" s="600">
        <v>836666</v>
      </c>
      <c r="S58" s="472">
        <f t="shared" si="32"/>
        <v>8419940</v>
      </c>
      <c r="T58" s="473">
        <f t="shared" si="25"/>
        <v>45.82008832514031</v>
      </c>
      <c r="U58" s="536">
        <f t="shared" si="7"/>
        <v>0.9435947925772126</v>
      </c>
      <c r="V58" s="538"/>
      <c r="W58" s="545">
        <f t="shared" si="18"/>
        <v>0</v>
      </c>
      <c r="X58" s="448">
        <f t="shared" si="26"/>
        <v>8419940</v>
      </c>
      <c r="Y58" s="448" t="str">
        <f t="shared" si="27"/>
        <v>Đ</v>
      </c>
    </row>
    <row r="59" spans="1:25" ht="19.5" customHeight="1">
      <c r="A59" s="436" t="s">
        <v>473</v>
      </c>
      <c r="B59" s="435" t="s">
        <v>535</v>
      </c>
      <c r="C59" s="521">
        <f t="shared" si="28"/>
        <v>10840410</v>
      </c>
      <c r="D59" s="600">
        <f>8067812+21204</f>
        <v>8089016</v>
      </c>
      <c r="E59" s="600">
        <v>2751394</v>
      </c>
      <c r="F59" s="600"/>
      <c r="G59" s="471"/>
      <c r="H59" s="521">
        <f t="shared" si="22"/>
        <v>10840410</v>
      </c>
      <c r="I59" s="521">
        <f t="shared" si="31"/>
        <v>7376314</v>
      </c>
      <c r="J59" s="600">
        <v>2348942</v>
      </c>
      <c r="K59" s="600">
        <v>135409</v>
      </c>
      <c r="L59" s="600">
        <v>0</v>
      </c>
      <c r="M59" s="600">
        <v>4891963</v>
      </c>
      <c r="N59" s="600"/>
      <c r="O59" s="600"/>
      <c r="P59" s="600"/>
      <c r="Q59" s="600"/>
      <c r="R59" s="600">
        <v>3464096</v>
      </c>
      <c r="S59" s="472">
        <f t="shared" si="32"/>
        <v>8356059</v>
      </c>
      <c r="T59" s="473">
        <f t="shared" si="25"/>
        <v>33.68011448536492</v>
      </c>
      <c r="U59" s="536">
        <f t="shared" si="7"/>
        <v>0.680446034790197</v>
      </c>
      <c r="V59" s="538"/>
      <c r="W59" s="545">
        <f t="shared" si="18"/>
        <v>0</v>
      </c>
      <c r="X59" s="448">
        <f t="shared" si="26"/>
        <v>8356059</v>
      </c>
      <c r="Y59" s="448" t="str">
        <f t="shared" si="27"/>
        <v>Đ</v>
      </c>
    </row>
    <row r="60" spans="1:25" ht="19.5" customHeight="1">
      <c r="A60" s="436" t="s">
        <v>539</v>
      </c>
      <c r="B60" s="435" t="s">
        <v>547</v>
      </c>
      <c r="C60" s="521">
        <f t="shared" si="28"/>
        <v>8354015</v>
      </c>
      <c r="D60" s="555">
        <v>5020928</v>
      </c>
      <c r="E60" s="471">
        <v>3333087</v>
      </c>
      <c r="F60" s="471">
        <v>111375</v>
      </c>
      <c r="G60" s="555"/>
      <c r="H60" s="521">
        <f t="shared" si="22"/>
        <v>8242640</v>
      </c>
      <c r="I60" s="521">
        <f t="shared" si="31"/>
        <v>1901390</v>
      </c>
      <c r="J60" s="471">
        <v>500186</v>
      </c>
      <c r="K60" s="471">
        <v>511321</v>
      </c>
      <c r="L60" s="600"/>
      <c r="M60" s="471">
        <v>889883</v>
      </c>
      <c r="N60" s="600"/>
      <c r="O60" s="600"/>
      <c r="P60" s="600"/>
      <c r="Q60" s="600"/>
      <c r="R60" s="471">
        <v>6341250</v>
      </c>
      <c r="S60" s="472">
        <f t="shared" si="32"/>
        <v>7231133</v>
      </c>
      <c r="T60" s="473">
        <f t="shared" si="25"/>
        <v>53.19829177601649</v>
      </c>
      <c r="U60" s="536">
        <f t="shared" si="7"/>
        <v>0.23067730727048616</v>
      </c>
      <c r="V60" s="538">
        <v>0</v>
      </c>
      <c r="W60" s="545">
        <f t="shared" si="18"/>
        <v>0</v>
      </c>
      <c r="X60" s="448">
        <f t="shared" si="26"/>
        <v>7231133</v>
      </c>
      <c r="Y60" s="448" t="str">
        <f t="shared" si="27"/>
        <v>Đ</v>
      </c>
    </row>
    <row r="61" spans="1:25" ht="19.5" customHeight="1">
      <c r="A61" s="469" t="s">
        <v>61</v>
      </c>
      <c r="B61" s="470" t="s">
        <v>472</v>
      </c>
      <c r="C61" s="521">
        <f t="shared" si="28"/>
        <v>57296035</v>
      </c>
      <c r="D61" s="521">
        <f>SUM(D62:D67)</f>
        <v>34688027</v>
      </c>
      <c r="E61" s="521">
        <f aca="true" t="shared" si="33" ref="E61:S61">SUM(E62:E67)</f>
        <v>22608008</v>
      </c>
      <c r="F61" s="521">
        <f t="shared" si="33"/>
        <v>186487</v>
      </c>
      <c r="G61" s="521">
        <f t="shared" si="33"/>
        <v>0</v>
      </c>
      <c r="H61" s="521">
        <f t="shared" si="33"/>
        <v>57109548</v>
      </c>
      <c r="I61" s="521">
        <f t="shared" si="33"/>
        <v>32849928</v>
      </c>
      <c r="J61" s="521">
        <f t="shared" si="33"/>
        <v>7926370</v>
      </c>
      <c r="K61" s="521">
        <f t="shared" si="33"/>
        <v>1414787</v>
      </c>
      <c r="L61" s="521">
        <f t="shared" si="33"/>
        <v>0</v>
      </c>
      <c r="M61" s="521">
        <f t="shared" si="33"/>
        <v>23505709</v>
      </c>
      <c r="N61" s="521">
        <f t="shared" si="33"/>
        <v>2862</v>
      </c>
      <c r="O61" s="521">
        <f t="shared" si="33"/>
        <v>0</v>
      </c>
      <c r="P61" s="521">
        <f t="shared" si="33"/>
        <v>0</v>
      </c>
      <c r="Q61" s="521">
        <f t="shared" si="33"/>
        <v>200</v>
      </c>
      <c r="R61" s="521">
        <f t="shared" si="33"/>
        <v>24259620</v>
      </c>
      <c r="S61" s="521">
        <f t="shared" si="33"/>
        <v>47768391</v>
      </c>
      <c r="T61" s="468">
        <f t="shared" si="25"/>
        <v>28.435852279493577</v>
      </c>
      <c r="U61" s="536">
        <f t="shared" si="7"/>
        <v>0.5752090350986494</v>
      </c>
      <c r="V61" s="521">
        <f>SUM(V62:V67)</f>
        <v>0</v>
      </c>
      <c r="W61" s="545">
        <f t="shared" si="18"/>
        <v>0</v>
      </c>
      <c r="X61" s="448">
        <f t="shared" si="26"/>
        <v>47768391</v>
      </c>
      <c r="Y61" s="448" t="str">
        <f t="shared" si="27"/>
        <v>Đ</v>
      </c>
    </row>
    <row r="62" spans="1:25" ht="19.5" customHeight="1">
      <c r="A62" s="436" t="s">
        <v>471</v>
      </c>
      <c r="B62" s="435" t="s">
        <v>470</v>
      </c>
      <c r="C62" s="521">
        <f t="shared" si="28"/>
        <v>13410685</v>
      </c>
      <c r="D62" s="471">
        <v>9928847</v>
      </c>
      <c r="E62" s="471">
        <v>3481838</v>
      </c>
      <c r="F62" s="471"/>
      <c r="G62" s="471"/>
      <c r="H62" s="521">
        <f t="shared" si="22"/>
        <v>13410685</v>
      </c>
      <c r="I62" s="521">
        <f t="shared" si="31"/>
        <v>7315834</v>
      </c>
      <c r="J62" s="471">
        <v>1912664</v>
      </c>
      <c r="K62" s="471">
        <v>370991</v>
      </c>
      <c r="L62" s="471"/>
      <c r="M62" s="471">
        <v>5032179</v>
      </c>
      <c r="N62" s="471"/>
      <c r="O62" s="471"/>
      <c r="P62" s="471"/>
      <c r="Q62" s="471"/>
      <c r="R62" s="471">
        <v>6094851</v>
      </c>
      <c r="S62" s="472">
        <f t="shared" si="32"/>
        <v>11127030</v>
      </c>
      <c r="T62" s="473">
        <f t="shared" si="25"/>
        <v>31.215238071284833</v>
      </c>
      <c r="U62" s="536">
        <f t="shared" si="7"/>
        <v>0.5455227678526489</v>
      </c>
      <c r="V62" s="539"/>
      <c r="W62" s="545">
        <f t="shared" si="18"/>
        <v>0</v>
      </c>
      <c r="X62" s="448">
        <f t="shared" si="26"/>
        <v>11127030</v>
      </c>
      <c r="Y62" s="448" t="str">
        <f t="shared" si="27"/>
        <v>Đ</v>
      </c>
    </row>
    <row r="63" spans="1:25" ht="19.5" customHeight="1">
      <c r="A63" s="436" t="s">
        <v>469</v>
      </c>
      <c r="B63" s="435" t="s">
        <v>468</v>
      </c>
      <c r="C63" s="521">
        <f t="shared" si="28"/>
        <v>5545780</v>
      </c>
      <c r="D63" s="471">
        <v>1811880</v>
      </c>
      <c r="E63" s="471">
        <v>3733900</v>
      </c>
      <c r="F63" s="471">
        <v>5200</v>
      </c>
      <c r="G63" s="471"/>
      <c r="H63" s="521">
        <f t="shared" si="22"/>
        <v>5540580</v>
      </c>
      <c r="I63" s="521">
        <f t="shared" si="31"/>
        <v>4668349</v>
      </c>
      <c r="J63" s="471">
        <v>1309329</v>
      </c>
      <c r="K63" s="471">
        <v>105332</v>
      </c>
      <c r="L63" s="471"/>
      <c r="M63" s="471">
        <v>3253688</v>
      </c>
      <c r="N63" s="471"/>
      <c r="O63" s="471"/>
      <c r="P63" s="471"/>
      <c r="Q63" s="471"/>
      <c r="R63" s="471">
        <v>872231</v>
      </c>
      <c r="S63" s="472">
        <f t="shared" si="32"/>
        <v>4125919</v>
      </c>
      <c r="T63" s="473">
        <f t="shared" si="25"/>
        <v>30.303239967705924</v>
      </c>
      <c r="U63" s="536">
        <f t="shared" si="7"/>
        <v>0.8425740626432612</v>
      </c>
      <c r="V63" s="539"/>
      <c r="W63" s="545">
        <f t="shared" si="18"/>
        <v>0</v>
      </c>
      <c r="X63" s="448">
        <f t="shared" si="26"/>
        <v>4125919</v>
      </c>
      <c r="Y63" s="448" t="str">
        <f t="shared" si="27"/>
        <v>Đ</v>
      </c>
    </row>
    <row r="64" spans="1:25" ht="19.5" customHeight="1">
      <c r="A64" s="436" t="s">
        <v>467</v>
      </c>
      <c r="B64" s="435" t="s">
        <v>466</v>
      </c>
      <c r="C64" s="521">
        <f t="shared" si="28"/>
        <v>6326733</v>
      </c>
      <c r="D64" s="471">
        <v>2534316</v>
      </c>
      <c r="E64" s="471">
        <v>3792417</v>
      </c>
      <c r="F64" s="471">
        <v>117600</v>
      </c>
      <c r="G64" s="471"/>
      <c r="H64" s="521">
        <f t="shared" si="22"/>
        <v>6209133</v>
      </c>
      <c r="I64" s="521">
        <f t="shared" si="31"/>
        <v>3782166</v>
      </c>
      <c r="J64" s="471">
        <v>986904</v>
      </c>
      <c r="K64" s="471">
        <v>212664</v>
      </c>
      <c r="L64" s="471"/>
      <c r="M64" s="603">
        <v>2579736</v>
      </c>
      <c r="N64" s="471">
        <v>2862</v>
      </c>
      <c r="O64" s="471"/>
      <c r="P64" s="471"/>
      <c r="Q64" s="471"/>
      <c r="R64" s="471">
        <v>2426967</v>
      </c>
      <c r="S64" s="472">
        <f t="shared" si="32"/>
        <v>5009565</v>
      </c>
      <c r="T64" s="473">
        <f t="shared" si="25"/>
        <v>31.716429157260677</v>
      </c>
      <c r="U64" s="536">
        <f t="shared" si="7"/>
        <v>0.6091294871602847</v>
      </c>
      <c r="V64" s="539"/>
      <c r="W64" s="545">
        <f t="shared" si="18"/>
        <v>0</v>
      </c>
      <c r="X64" s="448">
        <f t="shared" si="26"/>
        <v>5009565</v>
      </c>
      <c r="Y64" s="448" t="str">
        <f t="shared" si="27"/>
        <v>Đ</v>
      </c>
    </row>
    <row r="65" spans="1:25" ht="19.5" customHeight="1">
      <c r="A65" s="436" t="s">
        <v>465</v>
      </c>
      <c r="B65" s="435" t="s">
        <v>561</v>
      </c>
      <c r="C65" s="521">
        <f t="shared" si="28"/>
        <v>15737715</v>
      </c>
      <c r="D65" s="471">
        <v>11448256</v>
      </c>
      <c r="E65" s="471">
        <v>4289459</v>
      </c>
      <c r="F65" s="471">
        <v>63687</v>
      </c>
      <c r="G65" s="471"/>
      <c r="H65" s="521">
        <f t="shared" si="22"/>
        <v>15674028</v>
      </c>
      <c r="I65" s="521">
        <f t="shared" si="31"/>
        <v>7789994</v>
      </c>
      <c r="J65" s="471">
        <v>1388834</v>
      </c>
      <c r="K65" s="471">
        <v>225953</v>
      </c>
      <c r="L65" s="471"/>
      <c r="M65" s="603">
        <v>6175207</v>
      </c>
      <c r="N65" s="471"/>
      <c r="O65" s="471"/>
      <c r="P65" s="471"/>
      <c r="Q65" s="471"/>
      <c r="R65" s="471">
        <v>7884034</v>
      </c>
      <c r="S65" s="472">
        <f t="shared" si="32"/>
        <v>14059241</v>
      </c>
      <c r="T65" s="473">
        <f t="shared" si="25"/>
        <v>20.728989008207193</v>
      </c>
      <c r="U65" s="536">
        <f t="shared" si="7"/>
        <v>0.4970001329588029</v>
      </c>
      <c r="V65" s="539"/>
      <c r="W65" s="545">
        <f t="shared" si="18"/>
        <v>0</v>
      </c>
      <c r="X65" s="448">
        <f t="shared" si="26"/>
        <v>14059241</v>
      </c>
      <c r="Y65" s="448" t="str">
        <f t="shared" si="27"/>
        <v>Đ</v>
      </c>
    </row>
    <row r="66" spans="1:25" ht="19.5" customHeight="1">
      <c r="A66" s="436" t="s">
        <v>463</v>
      </c>
      <c r="B66" s="435" t="s">
        <v>464</v>
      </c>
      <c r="C66" s="521">
        <f t="shared" si="28"/>
        <v>10939292</v>
      </c>
      <c r="D66" s="471">
        <v>5684209</v>
      </c>
      <c r="E66" s="471">
        <v>5255083</v>
      </c>
      <c r="F66" s="471"/>
      <c r="G66" s="471"/>
      <c r="H66" s="521">
        <f t="shared" si="22"/>
        <v>10939292</v>
      </c>
      <c r="I66" s="521">
        <f t="shared" si="31"/>
        <v>6521965</v>
      </c>
      <c r="J66" s="471">
        <v>1598625</v>
      </c>
      <c r="K66" s="471">
        <v>469372</v>
      </c>
      <c r="L66" s="471"/>
      <c r="M66" s="471">
        <v>4453768</v>
      </c>
      <c r="N66" s="471"/>
      <c r="O66" s="471"/>
      <c r="P66" s="471"/>
      <c r="Q66" s="471">
        <v>200</v>
      </c>
      <c r="R66" s="471">
        <v>4417327</v>
      </c>
      <c r="S66" s="472">
        <f t="shared" si="32"/>
        <v>8871295</v>
      </c>
      <c r="T66" s="473">
        <f t="shared" si="25"/>
        <v>31.708189173048307</v>
      </c>
      <c r="U66" s="536">
        <f t="shared" si="7"/>
        <v>0.5961962620615667</v>
      </c>
      <c r="V66" s="539"/>
      <c r="W66" s="545">
        <f t="shared" si="18"/>
        <v>0</v>
      </c>
      <c r="X66" s="448">
        <f t="shared" si="26"/>
        <v>8871295</v>
      </c>
      <c r="Y66" s="448" t="str">
        <f t="shared" si="27"/>
        <v>Đ</v>
      </c>
    </row>
    <row r="67" spans="1:25" ht="19.5" customHeight="1">
      <c r="A67" s="436" t="s">
        <v>560</v>
      </c>
      <c r="B67" s="435" t="s">
        <v>538</v>
      </c>
      <c r="C67" s="521">
        <f t="shared" si="28"/>
        <v>5335830</v>
      </c>
      <c r="D67" s="471">
        <v>3280519</v>
      </c>
      <c r="E67" s="471">
        <v>2055311</v>
      </c>
      <c r="F67" s="471"/>
      <c r="G67" s="471"/>
      <c r="H67" s="521">
        <f t="shared" si="22"/>
        <v>5335830</v>
      </c>
      <c r="I67" s="521">
        <f t="shared" si="31"/>
        <v>2771620</v>
      </c>
      <c r="J67" s="471">
        <v>730014</v>
      </c>
      <c r="K67" s="471">
        <v>30475</v>
      </c>
      <c r="L67" s="471">
        <v>0</v>
      </c>
      <c r="M67" s="471">
        <v>2011131</v>
      </c>
      <c r="N67" s="471"/>
      <c r="O67" s="471"/>
      <c r="P67" s="471"/>
      <c r="Q67" s="471"/>
      <c r="R67" s="471">
        <v>2564210</v>
      </c>
      <c r="S67" s="472">
        <f t="shared" si="32"/>
        <v>4575341</v>
      </c>
      <c r="T67" s="473">
        <f t="shared" si="25"/>
        <v>27.438429510538963</v>
      </c>
      <c r="U67" s="536">
        <f t="shared" si="7"/>
        <v>0.5194355892147988</v>
      </c>
      <c r="V67" s="539"/>
      <c r="W67" s="545">
        <f t="shared" si="18"/>
        <v>0</v>
      </c>
      <c r="X67" s="448">
        <f t="shared" si="26"/>
        <v>4575341</v>
      </c>
      <c r="Y67" s="448" t="str">
        <f t="shared" si="27"/>
        <v>Đ</v>
      </c>
    </row>
    <row r="68" spans="1:25" ht="19.5" customHeight="1">
      <c r="A68" s="469" t="s">
        <v>62</v>
      </c>
      <c r="B68" s="470" t="s">
        <v>462</v>
      </c>
      <c r="C68" s="521">
        <f t="shared" si="28"/>
        <v>152835230</v>
      </c>
      <c r="D68" s="521">
        <f>SUM(D69:D73)</f>
        <v>119714458</v>
      </c>
      <c r="E68" s="521">
        <f>SUM(E69:E73)</f>
        <v>33120772</v>
      </c>
      <c r="F68" s="521">
        <f>SUM(F69:F73)</f>
        <v>11329329</v>
      </c>
      <c r="G68" s="521">
        <f>SUM(G69:G73)</f>
        <v>0</v>
      </c>
      <c r="H68" s="521">
        <f t="shared" si="22"/>
        <v>141505901</v>
      </c>
      <c r="I68" s="521">
        <f t="shared" si="31"/>
        <v>82295437</v>
      </c>
      <c r="J68" s="521">
        <f aca="true" t="shared" si="34" ref="J68:R68">SUM(J69:J73)</f>
        <v>15807049</v>
      </c>
      <c r="K68" s="521">
        <f t="shared" si="34"/>
        <v>2319708</v>
      </c>
      <c r="L68" s="521">
        <f t="shared" si="34"/>
        <v>0</v>
      </c>
      <c r="M68" s="521">
        <f t="shared" si="34"/>
        <v>64135830</v>
      </c>
      <c r="N68" s="521">
        <f t="shared" si="34"/>
        <v>0</v>
      </c>
      <c r="O68" s="521">
        <f t="shared" si="34"/>
        <v>32850</v>
      </c>
      <c r="P68" s="521">
        <f t="shared" si="34"/>
        <v>0</v>
      </c>
      <c r="Q68" s="521">
        <f t="shared" si="34"/>
        <v>0</v>
      </c>
      <c r="R68" s="521">
        <f t="shared" si="34"/>
        <v>59210464</v>
      </c>
      <c r="S68" s="472">
        <f t="shared" si="32"/>
        <v>123379144</v>
      </c>
      <c r="T68" s="473">
        <f t="shared" si="25"/>
        <v>22.026442365206712</v>
      </c>
      <c r="U68" s="536">
        <f t="shared" si="7"/>
        <v>0.5815689410719345</v>
      </c>
      <c r="V68" s="521">
        <f>+V69+V70+V71+V72+V73</f>
        <v>0</v>
      </c>
      <c r="W68" s="545">
        <f t="shared" si="18"/>
        <v>0</v>
      </c>
      <c r="X68" s="448">
        <f t="shared" si="26"/>
        <v>123379144</v>
      </c>
      <c r="Y68" s="448" t="str">
        <f t="shared" si="27"/>
        <v>Đ</v>
      </c>
    </row>
    <row r="69" spans="1:25" ht="19.5" customHeight="1">
      <c r="A69" s="436" t="s">
        <v>461</v>
      </c>
      <c r="B69" s="531" t="s">
        <v>457</v>
      </c>
      <c r="C69" s="521">
        <f t="shared" si="28"/>
        <v>13333525</v>
      </c>
      <c r="D69" s="551">
        <v>12197590</v>
      </c>
      <c r="E69" s="551">
        <v>1135935</v>
      </c>
      <c r="F69" s="551">
        <v>8480</v>
      </c>
      <c r="G69" s="478"/>
      <c r="H69" s="521">
        <f t="shared" si="22"/>
        <v>13325045</v>
      </c>
      <c r="I69" s="521">
        <f t="shared" si="31"/>
        <v>876835</v>
      </c>
      <c r="J69" s="551">
        <v>267300</v>
      </c>
      <c r="K69" s="551">
        <v>72048</v>
      </c>
      <c r="L69" s="551"/>
      <c r="M69" s="551">
        <v>537487</v>
      </c>
      <c r="N69" s="551"/>
      <c r="O69" s="551"/>
      <c r="P69" s="551"/>
      <c r="Q69" s="551"/>
      <c r="R69" s="551">
        <v>12448210</v>
      </c>
      <c r="S69" s="472">
        <f t="shared" si="32"/>
        <v>12985697</v>
      </c>
      <c r="T69" s="473">
        <f t="shared" si="25"/>
        <v>38.70146606830247</v>
      </c>
      <c r="U69" s="536">
        <f t="shared" si="7"/>
        <v>0.06580353011941048</v>
      </c>
      <c r="V69" s="541"/>
      <c r="W69" s="545">
        <f t="shared" si="18"/>
        <v>0</v>
      </c>
      <c r="X69" s="448">
        <f t="shared" si="26"/>
        <v>12985697</v>
      </c>
      <c r="Y69" s="448" t="str">
        <f t="shared" si="27"/>
        <v>Đ</v>
      </c>
    </row>
    <row r="70" spans="1:25" ht="19.5" customHeight="1">
      <c r="A70" s="436" t="s">
        <v>460</v>
      </c>
      <c r="B70" s="530" t="s">
        <v>548</v>
      </c>
      <c r="C70" s="521">
        <f t="shared" si="28"/>
        <v>33442820</v>
      </c>
      <c r="D70" s="551">
        <v>30224574</v>
      </c>
      <c r="E70" s="604">
        <v>3218246</v>
      </c>
      <c r="F70" s="604"/>
      <c r="G70" s="478"/>
      <c r="H70" s="521">
        <f t="shared" si="22"/>
        <v>33442820</v>
      </c>
      <c r="I70" s="521">
        <f t="shared" si="31"/>
        <v>18002691</v>
      </c>
      <c r="J70" s="604">
        <v>2196752</v>
      </c>
      <c r="K70" s="604">
        <v>981880</v>
      </c>
      <c r="L70" s="604"/>
      <c r="M70" s="604">
        <v>14824059</v>
      </c>
      <c r="N70" s="604"/>
      <c r="O70" s="604"/>
      <c r="P70" s="604"/>
      <c r="Q70" s="604"/>
      <c r="R70" s="604">
        <v>15440129</v>
      </c>
      <c r="S70" s="472">
        <f t="shared" si="32"/>
        <v>30264188</v>
      </c>
      <c r="T70" s="473">
        <f t="shared" si="25"/>
        <v>17.656427030825558</v>
      </c>
      <c r="U70" s="536">
        <f t="shared" si="7"/>
        <v>0.5383125884719052</v>
      </c>
      <c r="V70" s="542"/>
      <c r="W70" s="545">
        <f t="shared" si="18"/>
        <v>0</v>
      </c>
      <c r="X70" s="448">
        <f t="shared" si="26"/>
        <v>30264188</v>
      </c>
      <c r="Y70" s="448" t="str">
        <f t="shared" si="27"/>
        <v>Đ</v>
      </c>
    </row>
    <row r="71" spans="1:25" ht="19.5" customHeight="1">
      <c r="A71" s="436" t="s">
        <v>459</v>
      </c>
      <c r="B71" s="531" t="s">
        <v>549</v>
      </c>
      <c r="C71" s="521">
        <f t="shared" si="28"/>
        <v>45282515</v>
      </c>
      <c r="D71" s="551">
        <v>37435346</v>
      </c>
      <c r="E71" s="551">
        <v>7847169</v>
      </c>
      <c r="F71" s="551">
        <v>223200</v>
      </c>
      <c r="G71" s="478"/>
      <c r="H71" s="521">
        <f t="shared" si="22"/>
        <v>45059315</v>
      </c>
      <c r="I71" s="521">
        <f t="shared" si="31"/>
        <v>23049784</v>
      </c>
      <c r="J71" s="551">
        <v>2561729</v>
      </c>
      <c r="K71" s="551">
        <v>737196</v>
      </c>
      <c r="L71" s="551"/>
      <c r="M71" s="551">
        <v>19750859</v>
      </c>
      <c r="N71" s="551"/>
      <c r="O71" s="551"/>
      <c r="P71" s="551"/>
      <c r="Q71" s="551"/>
      <c r="R71" s="551">
        <v>22009531</v>
      </c>
      <c r="S71" s="472">
        <f t="shared" si="32"/>
        <v>41760390</v>
      </c>
      <c r="T71" s="473">
        <f t="shared" si="25"/>
        <v>14.312173163965442</v>
      </c>
      <c r="U71" s="536">
        <f t="shared" si="7"/>
        <v>0.5115431515104035</v>
      </c>
      <c r="V71" s="541"/>
      <c r="W71" s="545">
        <f t="shared" si="18"/>
        <v>0</v>
      </c>
      <c r="X71" s="448">
        <f t="shared" si="26"/>
        <v>41760390</v>
      </c>
      <c r="Y71" s="448" t="str">
        <f t="shared" si="27"/>
        <v>Đ</v>
      </c>
    </row>
    <row r="72" spans="1:25" ht="19.5" customHeight="1">
      <c r="A72" s="436" t="s">
        <v>456</v>
      </c>
      <c r="B72" s="530" t="s">
        <v>550</v>
      </c>
      <c r="C72" s="521">
        <f t="shared" si="28"/>
        <v>43184071</v>
      </c>
      <c r="D72" s="552">
        <v>31825466</v>
      </c>
      <c r="E72" s="552">
        <v>11358605</v>
      </c>
      <c r="F72" s="552">
        <v>11097649</v>
      </c>
      <c r="G72" s="478"/>
      <c r="H72" s="521">
        <f t="shared" si="22"/>
        <v>32086422</v>
      </c>
      <c r="I72" s="521">
        <f t="shared" si="31"/>
        <v>31400155</v>
      </c>
      <c r="J72" s="552">
        <v>9115379</v>
      </c>
      <c r="K72" s="552">
        <v>376404</v>
      </c>
      <c r="L72" s="552"/>
      <c r="M72" s="552">
        <v>21908372</v>
      </c>
      <c r="N72" s="552"/>
      <c r="O72" s="552"/>
      <c r="P72" s="552"/>
      <c r="Q72" s="552"/>
      <c r="R72" s="552">
        <v>686267</v>
      </c>
      <c r="S72" s="472">
        <f t="shared" si="32"/>
        <v>22594639</v>
      </c>
      <c r="T72" s="473">
        <f t="shared" si="25"/>
        <v>30.22845906333902</v>
      </c>
      <c r="U72" s="536">
        <f t="shared" si="7"/>
        <v>0.9786119187736171</v>
      </c>
      <c r="V72" s="541"/>
      <c r="W72" s="545">
        <f t="shared" si="18"/>
        <v>0</v>
      </c>
      <c r="X72" s="448">
        <f t="shared" si="26"/>
        <v>22594639</v>
      </c>
      <c r="Y72" s="448" t="str">
        <f t="shared" si="27"/>
        <v>Đ</v>
      </c>
    </row>
    <row r="73" spans="1:25" ht="19.5" customHeight="1">
      <c r="A73" s="436" t="s">
        <v>551</v>
      </c>
      <c r="B73" s="530" t="s">
        <v>552</v>
      </c>
      <c r="C73" s="521">
        <f t="shared" si="28"/>
        <v>17592299</v>
      </c>
      <c r="D73" s="551">
        <v>8031482</v>
      </c>
      <c r="E73" s="551">
        <v>9560817</v>
      </c>
      <c r="F73" s="551"/>
      <c r="G73" s="478"/>
      <c r="H73" s="521">
        <f t="shared" si="22"/>
        <v>17592299</v>
      </c>
      <c r="I73" s="521">
        <f t="shared" si="31"/>
        <v>8965972</v>
      </c>
      <c r="J73" s="551">
        <v>1665889</v>
      </c>
      <c r="K73" s="551">
        <v>152180</v>
      </c>
      <c r="L73" s="551"/>
      <c r="M73" s="551">
        <v>7115053</v>
      </c>
      <c r="N73" s="551"/>
      <c r="O73" s="551">
        <v>32850</v>
      </c>
      <c r="P73" s="551"/>
      <c r="Q73" s="551"/>
      <c r="R73" s="551">
        <v>8626327</v>
      </c>
      <c r="S73" s="472">
        <f t="shared" si="32"/>
        <v>15774230</v>
      </c>
      <c r="T73" s="473">
        <f t="shared" si="25"/>
        <v>20.277433389263315</v>
      </c>
      <c r="U73" s="536">
        <f t="shared" si="7"/>
        <v>0.5096532295182113</v>
      </c>
      <c r="V73" s="541"/>
      <c r="W73" s="545">
        <f t="shared" si="18"/>
        <v>0</v>
      </c>
      <c r="X73" s="448">
        <f t="shared" si="26"/>
        <v>15774230</v>
      </c>
      <c r="Y73" s="448" t="str">
        <f t="shared" si="27"/>
        <v>Đ</v>
      </c>
    </row>
    <row r="74" spans="1:25" ht="19.5" customHeight="1">
      <c r="A74" s="469" t="s">
        <v>63</v>
      </c>
      <c r="B74" s="470" t="s">
        <v>455</v>
      </c>
      <c r="C74" s="521">
        <f t="shared" si="28"/>
        <v>76915484</v>
      </c>
      <c r="D74" s="521">
        <f>SUM(D75:D79)</f>
        <v>48037666</v>
      </c>
      <c r="E74" s="521">
        <f>SUM(E75:E79)</f>
        <v>28877818</v>
      </c>
      <c r="F74" s="521">
        <f>SUM(F75:F79)</f>
        <v>859051</v>
      </c>
      <c r="G74" s="521">
        <f>SUM(G75:G79)</f>
        <v>1361316</v>
      </c>
      <c r="H74" s="521">
        <f t="shared" si="22"/>
        <v>76056433</v>
      </c>
      <c r="I74" s="521">
        <f t="shared" si="31"/>
        <v>41218158</v>
      </c>
      <c r="J74" s="521">
        <f>SUM(J75:J79)</f>
        <v>9247434</v>
      </c>
      <c r="K74" s="521">
        <f>SUM(K75:K79)</f>
        <v>6678584</v>
      </c>
      <c r="L74" s="521">
        <f>SUM(L75:L79)</f>
        <v>0</v>
      </c>
      <c r="M74" s="521">
        <f aca="true" t="shared" si="35" ref="M74:R74">SUM(M75:M79)</f>
        <v>25006075</v>
      </c>
      <c r="N74" s="521">
        <f t="shared" si="35"/>
        <v>286065</v>
      </c>
      <c r="O74" s="521">
        <f t="shared" si="35"/>
        <v>0</v>
      </c>
      <c r="P74" s="521">
        <f t="shared" si="35"/>
        <v>0</v>
      </c>
      <c r="Q74" s="521">
        <f t="shared" si="35"/>
        <v>0</v>
      </c>
      <c r="R74" s="521">
        <f t="shared" si="35"/>
        <v>34838275</v>
      </c>
      <c r="S74" s="472">
        <f t="shared" si="32"/>
        <v>60130415</v>
      </c>
      <c r="T74" s="468">
        <f t="shared" si="25"/>
        <v>38.638354484448335</v>
      </c>
      <c r="U74" s="536">
        <f t="shared" si="7"/>
        <v>0.5419417710530811</v>
      </c>
      <c r="V74" s="521">
        <f>SUM(V75:V79)</f>
        <v>0</v>
      </c>
      <c r="W74" s="545">
        <f t="shared" si="18"/>
        <v>-1361316</v>
      </c>
      <c r="X74" s="448">
        <f t="shared" si="26"/>
        <v>60130415</v>
      </c>
      <c r="Y74" s="448" t="str">
        <f t="shared" si="27"/>
        <v>Đ</v>
      </c>
    </row>
    <row r="75" spans="1:25" ht="19.5" customHeight="1">
      <c r="A75" s="436" t="s">
        <v>454</v>
      </c>
      <c r="B75" s="435" t="s">
        <v>453</v>
      </c>
      <c r="C75" s="521">
        <f t="shared" si="28"/>
        <v>3156912</v>
      </c>
      <c r="D75" s="601">
        <v>2660028</v>
      </c>
      <c r="E75" s="554">
        <v>496884</v>
      </c>
      <c r="F75" s="554"/>
      <c r="G75" s="471"/>
      <c r="H75" s="521">
        <f t="shared" si="22"/>
        <v>3156912</v>
      </c>
      <c r="I75" s="521">
        <f t="shared" si="31"/>
        <v>823706</v>
      </c>
      <c r="J75" s="554">
        <v>460985</v>
      </c>
      <c r="K75" s="554">
        <v>27750</v>
      </c>
      <c r="L75" s="554"/>
      <c r="M75" s="554">
        <v>334971</v>
      </c>
      <c r="N75" s="554"/>
      <c r="O75" s="554"/>
      <c r="P75" s="554"/>
      <c r="Q75" s="554"/>
      <c r="R75" s="602">
        <v>2333206</v>
      </c>
      <c r="S75" s="472">
        <f t="shared" si="32"/>
        <v>2668177</v>
      </c>
      <c r="T75" s="473">
        <f t="shared" si="25"/>
        <v>59.33367002304221</v>
      </c>
      <c r="U75" s="536">
        <f t="shared" si="7"/>
        <v>0.26092143208299756</v>
      </c>
      <c r="V75" s="536"/>
      <c r="W75" s="545">
        <f t="shared" si="18"/>
        <v>0</v>
      </c>
      <c r="X75" s="448">
        <f t="shared" si="26"/>
        <v>2668177</v>
      </c>
      <c r="Y75" s="448" t="str">
        <f t="shared" si="27"/>
        <v>Đ</v>
      </c>
    </row>
    <row r="76" spans="1:25" ht="19.5" customHeight="1">
      <c r="A76" s="436" t="s">
        <v>452</v>
      </c>
      <c r="B76" s="435" t="s">
        <v>451</v>
      </c>
      <c r="C76" s="521">
        <f t="shared" si="28"/>
        <v>24719835</v>
      </c>
      <c r="D76" s="601">
        <v>14617507</v>
      </c>
      <c r="E76" s="554">
        <v>10102328</v>
      </c>
      <c r="F76" s="554">
        <v>796516</v>
      </c>
      <c r="G76" s="471"/>
      <c r="H76" s="521">
        <f t="shared" si="22"/>
        <v>23923319</v>
      </c>
      <c r="I76" s="521">
        <f t="shared" si="31"/>
        <v>8219994</v>
      </c>
      <c r="J76" s="554">
        <v>3390429</v>
      </c>
      <c r="K76" s="554">
        <v>515311</v>
      </c>
      <c r="L76" s="554"/>
      <c r="M76" s="554">
        <v>4028189</v>
      </c>
      <c r="N76" s="554">
        <v>286065</v>
      </c>
      <c r="O76" s="554"/>
      <c r="P76" s="554"/>
      <c r="Q76" s="554"/>
      <c r="R76" s="602">
        <v>15703325</v>
      </c>
      <c r="S76" s="472">
        <f t="shared" si="32"/>
        <v>20017579</v>
      </c>
      <c r="T76" s="473">
        <f t="shared" si="25"/>
        <v>47.515119840720075</v>
      </c>
      <c r="U76" s="536">
        <f t="shared" si="7"/>
        <v>0.34359755851602364</v>
      </c>
      <c r="V76" s="536"/>
      <c r="W76" s="545">
        <f t="shared" si="18"/>
        <v>0</v>
      </c>
      <c r="X76" s="448">
        <f t="shared" si="26"/>
        <v>20017579</v>
      </c>
      <c r="Y76" s="448" t="str">
        <f t="shared" si="27"/>
        <v>Đ</v>
      </c>
    </row>
    <row r="77" spans="1:25" ht="19.5" customHeight="1">
      <c r="A77" s="436" t="s">
        <v>450</v>
      </c>
      <c r="B77" s="435" t="s">
        <v>554</v>
      </c>
      <c r="C77" s="521">
        <f t="shared" si="28"/>
        <v>10708096</v>
      </c>
      <c r="D77" s="601">
        <v>7350275</v>
      </c>
      <c r="E77" s="554">
        <v>3357821</v>
      </c>
      <c r="F77" s="554">
        <v>700</v>
      </c>
      <c r="G77" s="471"/>
      <c r="H77" s="521">
        <f t="shared" si="22"/>
        <v>10707396</v>
      </c>
      <c r="I77" s="521">
        <f t="shared" si="31"/>
        <v>7708989</v>
      </c>
      <c r="J77" s="554">
        <v>2146574</v>
      </c>
      <c r="K77" s="554">
        <v>955975</v>
      </c>
      <c r="L77" s="554"/>
      <c r="M77" s="554">
        <v>4606440</v>
      </c>
      <c r="N77" s="554"/>
      <c r="O77" s="554"/>
      <c r="P77" s="554"/>
      <c r="Q77" s="554"/>
      <c r="R77" s="602">
        <v>2998407</v>
      </c>
      <c r="S77" s="472">
        <f t="shared" si="32"/>
        <v>7604847</v>
      </c>
      <c r="T77" s="473">
        <f t="shared" si="25"/>
        <v>40.24586103313936</v>
      </c>
      <c r="U77" s="536">
        <f t="shared" si="7"/>
        <v>0.7199686086140832</v>
      </c>
      <c r="V77" s="536"/>
      <c r="W77" s="545">
        <f t="shared" si="18"/>
        <v>0</v>
      </c>
      <c r="X77" s="448">
        <f t="shared" si="26"/>
        <v>7604847</v>
      </c>
      <c r="Y77" s="448" t="str">
        <f t="shared" si="27"/>
        <v>Đ</v>
      </c>
    </row>
    <row r="78" spans="1:25" ht="19.5" customHeight="1">
      <c r="A78" s="436" t="s">
        <v>449</v>
      </c>
      <c r="B78" s="435" t="s">
        <v>448</v>
      </c>
      <c r="C78" s="521">
        <f t="shared" si="28"/>
        <v>28752574</v>
      </c>
      <c r="D78" s="555">
        <v>17233938</v>
      </c>
      <c r="E78" s="471">
        <v>11518636</v>
      </c>
      <c r="F78" s="554">
        <f>32935+12000</f>
        <v>44935</v>
      </c>
      <c r="G78" s="555">
        <v>1361316</v>
      </c>
      <c r="H78" s="521">
        <f t="shared" si="22"/>
        <v>28707639</v>
      </c>
      <c r="I78" s="521">
        <f t="shared" si="31"/>
        <v>19221866</v>
      </c>
      <c r="J78" s="554">
        <v>2536308</v>
      </c>
      <c r="K78" s="471">
        <f>4281011-12000</f>
        <v>4269011</v>
      </c>
      <c r="L78" s="471"/>
      <c r="M78" s="471">
        <v>12416547</v>
      </c>
      <c r="N78" s="471"/>
      <c r="O78" s="471"/>
      <c r="P78" s="471"/>
      <c r="Q78" s="471"/>
      <c r="R78" s="471">
        <v>9485773</v>
      </c>
      <c r="S78" s="472">
        <f t="shared" si="32"/>
        <v>21902320</v>
      </c>
      <c r="T78" s="473">
        <f t="shared" si="25"/>
        <v>35.404049742101</v>
      </c>
      <c r="U78" s="536">
        <f t="shared" si="7"/>
        <v>0.6695732101131688</v>
      </c>
      <c r="V78" s="536"/>
      <c r="W78" s="545">
        <f t="shared" si="18"/>
        <v>-1361316</v>
      </c>
      <c r="X78" s="448">
        <f t="shared" si="26"/>
        <v>21902320</v>
      </c>
      <c r="Y78" s="448" t="str">
        <f t="shared" si="27"/>
        <v>Đ</v>
      </c>
    </row>
    <row r="79" spans="1:25" ht="19.5" customHeight="1">
      <c r="A79" s="436" t="s">
        <v>553</v>
      </c>
      <c r="B79" s="532" t="s">
        <v>537</v>
      </c>
      <c r="C79" s="521">
        <f t="shared" si="28"/>
        <v>9578067</v>
      </c>
      <c r="D79" s="601">
        <v>6175918</v>
      </c>
      <c r="E79" s="554">
        <v>3402149</v>
      </c>
      <c r="F79" s="554">
        <v>16900</v>
      </c>
      <c r="G79" s="471"/>
      <c r="H79" s="521">
        <f t="shared" si="22"/>
        <v>9561167</v>
      </c>
      <c r="I79" s="521">
        <f t="shared" si="31"/>
        <v>5243603</v>
      </c>
      <c r="J79" s="554">
        <v>713138</v>
      </c>
      <c r="K79" s="554">
        <v>910537</v>
      </c>
      <c r="L79" s="554"/>
      <c r="M79" s="554">
        <v>3619928</v>
      </c>
      <c r="N79" s="554"/>
      <c r="O79" s="554"/>
      <c r="P79" s="554"/>
      <c r="Q79" s="554"/>
      <c r="R79" s="602">
        <v>4317564</v>
      </c>
      <c r="S79" s="472">
        <f t="shared" si="32"/>
        <v>7937492</v>
      </c>
      <c r="T79" s="474">
        <f t="shared" si="25"/>
        <v>30.964872817411997</v>
      </c>
      <c r="U79" s="536">
        <f t="shared" si="7"/>
        <v>0.5484270905423992</v>
      </c>
      <c r="V79" s="536"/>
      <c r="W79" s="545">
        <f t="shared" si="18"/>
        <v>0</v>
      </c>
      <c r="X79" s="448">
        <f t="shared" si="26"/>
        <v>7937492</v>
      </c>
      <c r="Y79" s="448" t="str">
        <f t="shared" si="27"/>
        <v>Đ</v>
      </c>
    </row>
    <row r="80" spans="1:22" s="379" customFormat="1" ht="29.25" customHeight="1">
      <c r="A80" s="1007"/>
      <c r="B80" s="1007"/>
      <c r="C80" s="1007"/>
      <c r="D80" s="1007"/>
      <c r="E80" s="1007"/>
      <c r="F80" s="420"/>
      <c r="G80" s="390"/>
      <c r="H80" s="506"/>
      <c r="I80" s="390"/>
      <c r="J80" s="390"/>
      <c r="K80" s="494"/>
      <c r="L80" s="390"/>
      <c r="M80" s="499"/>
      <c r="N80" s="390"/>
      <c r="O80" s="1005" t="str">
        <f>'Thong tin'!B8</f>
        <v>Trà Vinh, ngày 03 tháng 9  năm 2019</v>
      </c>
      <c r="P80" s="1005"/>
      <c r="Q80" s="1005"/>
      <c r="R80" s="1005"/>
      <c r="S80" s="1005"/>
      <c r="T80" s="1005"/>
      <c r="U80" s="453"/>
      <c r="V80" s="453"/>
    </row>
    <row r="81" spans="1:22" s="413" customFormat="1" ht="19.5" customHeight="1">
      <c r="A81" s="403"/>
      <c r="B81" s="1006" t="s">
        <v>4</v>
      </c>
      <c r="C81" s="1006"/>
      <c r="D81" s="1006"/>
      <c r="E81" s="1006"/>
      <c r="F81" s="402"/>
      <c r="G81" s="402"/>
      <c r="H81" s="402"/>
      <c r="I81" s="402"/>
      <c r="J81" s="402"/>
      <c r="K81" s="402"/>
      <c r="L81" s="402"/>
      <c r="M81" s="402"/>
      <c r="N81" s="402"/>
      <c r="O81" s="1012" t="str">
        <f>'Thong tin'!B7</f>
        <v>PHÓ CỤC TRƯỞNG</v>
      </c>
      <c r="P81" s="1012"/>
      <c r="Q81" s="1012"/>
      <c r="R81" s="1012"/>
      <c r="S81" s="1012"/>
      <c r="T81" s="1012"/>
      <c r="U81" s="452"/>
      <c r="V81" s="452"/>
    </row>
    <row r="82" spans="1:23" ht="18.75">
      <c r="A82" s="387"/>
      <c r="B82" s="389"/>
      <c r="C82" s="440"/>
      <c r="D82" s="440"/>
      <c r="E82" s="442"/>
      <c r="F82" s="442"/>
      <c r="G82" s="442"/>
      <c r="H82" s="442"/>
      <c r="I82" s="442"/>
      <c r="J82" s="442"/>
      <c r="K82" s="442"/>
      <c r="L82" s="442"/>
      <c r="M82" s="442"/>
      <c r="N82" s="442"/>
      <c r="O82" s="442"/>
      <c r="P82" s="442"/>
      <c r="Q82" s="442"/>
      <c r="R82" s="442"/>
      <c r="S82" s="442"/>
      <c r="T82" s="444"/>
      <c r="U82" s="444"/>
      <c r="V82" s="540"/>
      <c r="W82" s="446"/>
    </row>
    <row r="83" spans="1:22" ht="18.75">
      <c r="A83" s="387"/>
      <c r="B83" s="387"/>
      <c r="C83" s="445"/>
      <c r="D83" s="445"/>
      <c r="E83" s="445"/>
      <c r="F83" s="445"/>
      <c r="G83" s="445"/>
      <c r="H83" s="445"/>
      <c r="I83" s="445"/>
      <c r="J83" s="445"/>
      <c r="K83" s="445"/>
      <c r="L83" s="445"/>
      <c r="M83" s="445"/>
      <c r="N83" s="445"/>
      <c r="O83" s="445"/>
      <c r="P83" s="445"/>
      <c r="Q83" s="445"/>
      <c r="R83" s="445"/>
      <c r="S83" s="445"/>
      <c r="T83" s="445"/>
      <c r="U83" s="520"/>
      <c r="V83" s="520"/>
    </row>
    <row r="84" spans="1:22" ht="15.75">
      <c r="A84" s="386"/>
      <c r="B84" s="1018"/>
      <c r="C84" s="1018"/>
      <c r="D84" s="1018"/>
      <c r="E84" s="411"/>
      <c r="F84" s="411"/>
      <c r="G84" s="411"/>
      <c r="H84" s="411"/>
      <c r="I84" s="411"/>
      <c r="J84" s="411"/>
      <c r="K84" s="411"/>
      <c r="L84" s="411"/>
      <c r="M84" s="411"/>
      <c r="N84" s="411"/>
      <c r="O84" s="411"/>
      <c r="P84" s="411"/>
      <c r="Q84" s="1018"/>
      <c r="R84" s="1018"/>
      <c r="S84" s="1018"/>
      <c r="T84" s="386"/>
      <c r="U84" s="386"/>
      <c r="V84" s="386"/>
    </row>
    <row r="85" spans="1:22" ht="15.75" customHeight="1">
      <c r="A85" s="412"/>
      <c r="B85" s="386"/>
      <c r="C85" s="500"/>
      <c r="D85" s="500"/>
      <c r="E85" s="500"/>
      <c r="F85" s="500"/>
      <c r="G85" s="507"/>
      <c r="H85" s="500"/>
      <c r="I85" s="500"/>
      <c r="J85" s="500"/>
      <c r="K85" s="500"/>
      <c r="L85" s="500"/>
      <c r="M85" s="500"/>
      <c r="N85" s="500"/>
      <c r="O85" s="411"/>
      <c r="P85" s="411"/>
      <c r="Q85" s="411"/>
      <c r="R85" s="449"/>
      <c r="S85" s="386"/>
      <c r="T85" s="386"/>
      <c r="U85" s="386"/>
      <c r="V85" s="386"/>
    </row>
    <row r="86" spans="1:22" ht="15.75" customHeight="1">
      <c r="A86" s="386"/>
      <c r="B86" s="549"/>
      <c r="C86" s="549"/>
      <c r="D86" s="549"/>
      <c r="E86" s="549"/>
      <c r="F86" s="549"/>
      <c r="G86" s="549"/>
      <c r="H86" s="549"/>
      <c r="I86" s="549"/>
      <c r="J86" s="549"/>
      <c r="K86" s="549"/>
      <c r="L86" s="549"/>
      <c r="M86" s="549"/>
      <c r="N86" s="549"/>
      <c r="O86" s="549"/>
      <c r="P86" s="549"/>
      <c r="Q86" s="411"/>
      <c r="R86" s="411"/>
      <c r="S86" s="386"/>
      <c r="T86" s="386"/>
      <c r="U86" s="386"/>
      <c r="V86" s="386"/>
    </row>
    <row r="87" spans="1:22" ht="15.75">
      <c r="A87" s="410"/>
      <c r="B87" s="410"/>
      <c r="C87" s="410"/>
      <c r="D87" s="410"/>
      <c r="E87" s="410"/>
      <c r="F87" s="410"/>
      <c r="G87" s="410"/>
      <c r="H87" s="410"/>
      <c r="I87" s="410"/>
      <c r="J87" s="410"/>
      <c r="K87" s="410"/>
      <c r="L87" s="410"/>
      <c r="M87" s="410"/>
      <c r="N87" s="410"/>
      <c r="O87" s="410"/>
      <c r="P87" s="410"/>
      <c r="Q87" s="410"/>
      <c r="R87" s="386"/>
      <c r="S87" s="386"/>
      <c r="T87" s="386"/>
      <c r="U87" s="386"/>
      <c r="V87" s="386"/>
    </row>
    <row r="88" spans="1:22" ht="18.75">
      <c r="A88" s="386"/>
      <c r="B88" s="1011" t="str">
        <f>'Thong tin'!B5</f>
        <v>Nhan Quốc Hải</v>
      </c>
      <c r="C88" s="1011"/>
      <c r="D88" s="1011"/>
      <c r="E88" s="1011"/>
      <c r="F88" s="386"/>
      <c r="G88" s="386"/>
      <c r="H88" s="386"/>
      <c r="I88" s="386"/>
      <c r="J88" s="386"/>
      <c r="K88" s="386"/>
      <c r="L88" s="386"/>
      <c r="M88" s="386"/>
      <c r="N88" s="386"/>
      <c r="O88" s="1011" t="str">
        <f>'Thong tin'!B6</f>
        <v>Nguyễn Minh Khiêm</v>
      </c>
      <c r="P88" s="1011"/>
      <c r="Q88" s="1011"/>
      <c r="R88" s="1011"/>
      <c r="S88" s="1011"/>
      <c r="T88" s="1011"/>
      <c r="U88" s="451"/>
      <c r="V88" s="451"/>
    </row>
    <row r="89" spans="2:22" ht="18.75">
      <c r="B89" s="1014"/>
      <c r="C89" s="1014"/>
      <c r="D89" s="1014"/>
      <c r="E89" s="1014"/>
      <c r="P89" s="1014"/>
      <c r="Q89" s="1014"/>
      <c r="R89" s="1014"/>
      <c r="S89" s="1014"/>
      <c r="T89" s="1015"/>
      <c r="U89" s="518"/>
      <c r="V89" s="518"/>
    </row>
  </sheetData>
  <sheetProtection/>
  <mergeCells count="36">
    <mergeCell ref="R7:R9"/>
    <mergeCell ref="I8:I9"/>
    <mergeCell ref="J8:Q8"/>
    <mergeCell ref="H7:H9"/>
    <mergeCell ref="A6:B9"/>
    <mergeCell ref="B84:D84"/>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81:T81"/>
    <mergeCell ref="T6:T9"/>
    <mergeCell ref="I7:Q7"/>
    <mergeCell ref="O80:T80"/>
    <mergeCell ref="S6:S9"/>
    <mergeCell ref="A3:D3"/>
    <mergeCell ref="A80:E80"/>
    <mergeCell ref="B89:E89"/>
    <mergeCell ref="P89:T89"/>
    <mergeCell ref="B88:E88"/>
    <mergeCell ref="A11:B11"/>
    <mergeCell ref="O88:T88"/>
    <mergeCell ref="Q84:S84"/>
    <mergeCell ref="B81:E81"/>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54" t="s">
        <v>29</v>
      </c>
      <c r="B1" s="654"/>
      <c r="C1" s="654"/>
      <c r="D1" s="654"/>
      <c r="E1" s="653" t="s">
        <v>375</v>
      </c>
      <c r="F1" s="653"/>
      <c r="G1" s="653"/>
      <c r="H1" s="653"/>
      <c r="I1" s="653"/>
      <c r="J1" s="653"/>
      <c r="K1" s="653"/>
      <c r="L1" s="31" t="s">
        <v>351</v>
      </c>
      <c r="M1" s="31"/>
      <c r="N1" s="31"/>
      <c r="O1" s="32"/>
      <c r="P1" s="32"/>
    </row>
    <row r="2" spans="1:16" ht="15.75" customHeight="1">
      <c r="A2" s="655" t="s">
        <v>245</v>
      </c>
      <c r="B2" s="655"/>
      <c r="C2" s="655"/>
      <c r="D2" s="655"/>
      <c r="E2" s="653"/>
      <c r="F2" s="653"/>
      <c r="G2" s="653"/>
      <c r="H2" s="653"/>
      <c r="I2" s="653"/>
      <c r="J2" s="653"/>
      <c r="K2" s="653"/>
      <c r="L2" s="645" t="s">
        <v>254</v>
      </c>
      <c r="M2" s="645"/>
      <c r="N2" s="645"/>
      <c r="O2" s="35"/>
      <c r="P2" s="32"/>
    </row>
    <row r="3" spans="1:16" ht="18" customHeight="1">
      <c r="A3" s="655" t="s">
        <v>246</v>
      </c>
      <c r="B3" s="655"/>
      <c r="C3" s="655"/>
      <c r="D3" s="655"/>
      <c r="E3" s="656" t="s">
        <v>371</v>
      </c>
      <c r="F3" s="656"/>
      <c r="G3" s="656"/>
      <c r="H3" s="656"/>
      <c r="I3" s="656"/>
      <c r="J3" s="656"/>
      <c r="K3" s="36"/>
      <c r="L3" s="646" t="s">
        <v>370</v>
      </c>
      <c r="M3" s="646"/>
      <c r="N3" s="646"/>
      <c r="O3" s="32"/>
      <c r="P3" s="32"/>
    </row>
    <row r="4" spans="1:16" ht="21" customHeight="1">
      <c r="A4" s="652" t="s">
        <v>257</v>
      </c>
      <c r="B4" s="652"/>
      <c r="C4" s="652"/>
      <c r="D4" s="652"/>
      <c r="E4" s="39"/>
      <c r="F4" s="40"/>
      <c r="G4" s="41"/>
      <c r="H4" s="41"/>
      <c r="I4" s="41"/>
      <c r="J4" s="41"/>
      <c r="K4" s="32"/>
      <c r="L4" s="645" t="s">
        <v>252</v>
      </c>
      <c r="M4" s="645"/>
      <c r="N4" s="645"/>
      <c r="O4" s="35"/>
      <c r="P4" s="32"/>
    </row>
    <row r="5" spans="1:16" ht="18" customHeight="1">
      <c r="A5" s="41"/>
      <c r="B5" s="32"/>
      <c r="C5" s="42"/>
      <c r="D5" s="650"/>
      <c r="E5" s="650"/>
      <c r="F5" s="650"/>
      <c r="G5" s="650"/>
      <c r="H5" s="650"/>
      <c r="I5" s="650"/>
      <c r="J5" s="650"/>
      <c r="K5" s="650"/>
      <c r="L5" s="43" t="s">
        <v>258</v>
      </c>
      <c r="M5" s="43"/>
      <c r="N5" s="43"/>
      <c r="O5" s="32"/>
      <c r="P5" s="32"/>
    </row>
    <row r="6" spans="1:18" ht="33" customHeight="1">
      <c r="A6" s="637" t="s">
        <v>57</v>
      </c>
      <c r="B6" s="638"/>
      <c r="C6" s="651" t="s">
        <v>259</v>
      </c>
      <c r="D6" s="651"/>
      <c r="E6" s="651"/>
      <c r="F6" s="651"/>
      <c r="G6" s="647" t="s">
        <v>7</v>
      </c>
      <c r="H6" s="648"/>
      <c r="I6" s="648"/>
      <c r="J6" s="648"/>
      <c r="K6" s="648"/>
      <c r="L6" s="648"/>
      <c r="M6" s="648"/>
      <c r="N6" s="649"/>
      <c r="O6" s="663" t="s">
        <v>260</v>
      </c>
      <c r="P6" s="664"/>
      <c r="Q6" s="664"/>
      <c r="R6" s="665"/>
    </row>
    <row r="7" spans="1:18" ht="29.25" customHeight="1">
      <c r="A7" s="639"/>
      <c r="B7" s="640"/>
      <c r="C7" s="651"/>
      <c r="D7" s="651"/>
      <c r="E7" s="651"/>
      <c r="F7" s="651"/>
      <c r="G7" s="647" t="s">
        <v>261</v>
      </c>
      <c r="H7" s="648"/>
      <c r="I7" s="648"/>
      <c r="J7" s="649"/>
      <c r="K7" s="647" t="s">
        <v>92</v>
      </c>
      <c r="L7" s="648"/>
      <c r="M7" s="648"/>
      <c r="N7" s="649"/>
      <c r="O7" s="45" t="s">
        <v>262</v>
      </c>
      <c r="P7" s="45" t="s">
        <v>263</v>
      </c>
      <c r="Q7" s="666" t="s">
        <v>264</v>
      </c>
      <c r="R7" s="666" t="s">
        <v>265</v>
      </c>
    </row>
    <row r="8" spans="1:18" ht="26.25" customHeight="1">
      <c r="A8" s="639"/>
      <c r="B8" s="640"/>
      <c r="C8" s="634" t="s">
        <v>89</v>
      </c>
      <c r="D8" s="635"/>
      <c r="E8" s="634" t="s">
        <v>88</v>
      </c>
      <c r="F8" s="635"/>
      <c r="G8" s="634" t="s">
        <v>90</v>
      </c>
      <c r="H8" s="636"/>
      <c r="I8" s="634" t="s">
        <v>91</v>
      </c>
      <c r="J8" s="636"/>
      <c r="K8" s="634" t="s">
        <v>93</v>
      </c>
      <c r="L8" s="636"/>
      <c r="M8" s="634" t="s">
        <v>94</v>
      </c>
      <c r="N8" s="636"/>
      <c r="O8" s="668" t="s">
        <v>266</v>
      </c>
      <c r="P8" s="669" t="s">
        <v>267</v>
      </c>
      <c r="Q8" s="666"/>
      <c r="R8" s="666"/>
    </row>
    <row r="9" spans="1:18" ht="30.75" customHeight="1">
      <c r="A9" s="639"/>
      <c r="B9" s="640"/>
      <c r="C9" s="46" t="s">
        <v>3</v>
      </c>
      <c r="D9" s="44" t="s">
        <v>9</v>
      </c>
      <c r="E9" s="44" t="s">
        <v>3</v>
      </c>
      <c r="F9" s="44" t="s">
        <v>9</v>
      </c>
      <c r="G9" s="47" t="s">
        <v>3</v>
      </c>
      <c r="H9" s="47" t="s">
        <v>9</v>
      </c>
      <c r="I9" s="47" t="s">
        <v>3</v>
      </c>
      <c r="J9" s="47" t="s">
        <v>9</v>
      </c>
      <c r="K9" s="47" t="s">
        <v>3</v>
      </c>
      <c r="L9" s="47" t="s">
        <v>9</v>
      </c>
      <c r="M9" s="47" t="s">
        <v>3</v>
      </c>
      <c r="N9" s="47" t="s">
        <v>9</v>
      </c>
      <c r="O9" s="668"/>
      <c r="P9" s="670"/>
      <c r="Q9" s="667"/>
      <c r="R9" s="667"/>
    </row>
    <row r="10" spans="1:18" s="52" customFormat="1" ht="18" customHeight="1">
      <c r="A10" s="659" t="s">
        <v>6</v>
      </c>
      <c r="B10" s="659"/>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61" t="s">
        <v>268</v>
      </c>
      <c r="B11" s="66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43" t="s">
        <v>372</v>
      </c>
      <c r="B12" s="64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1" t="s">
        <v>31</v>
      </c>
      <c r="B13" s="64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60" t="s">
        <v>373</v>
      </c>
      <c r="C28" s="660"/>
      <c r="D28" s="660"/>
      <c r="E28" s="660"/>
      <c r="F28" s="75"/>
      <c r="G28" s="76"/>
      <c r="H28" s="76"/>
      <c r="I28" s="76"/>
      <c r="J28" s="660" t="s">
        <v>374</v>
      </c>
      <c r="K28" s="660"/>
      <c r="L28" s="660"/>
      <c r="M28" s="660"/>
      <c r="N28" s="660"/>
      <c r="O28" s="77"/>
      <c r="P28" s="77"/>
      <c r="AG28" s="78" t="s">
        <v>289</v>
      </c>
      <c r="AI28" s="79">
        <f>82/88</f>
        <v>0.9318181818181818</v>
      </c>
    </row>
    <row r="29" spans="1:16" s="85" customFormat="1" ht="19.5" customHeight="1">
      <c r="A29" s="80"/>
      <c r="B29" s="633" t="s">
        <v>35</v>
      </c>
      <c r="C29" s="633"/>
      <c r="D29" s="633"/>
      <c r="E29" s="633"/>
      <c r="F29" s="82"/>
      <c r="G29" s="83"/>
      <c r="H29" s="83"/>
      <c r="I29" s="83"/>
      <c r="J29" s="633" t="s">
        <v>290</v>
      </c>
      <c r="K29" s="633"/>
      <c r="L29" s="633"/>
      <c r="M29" s="633"/>
      <c r="N29" s="633"/>
      <c r="O29" s="84"/>
      <c r="P29" s="84"/>
    </row>
    <row r="30" spans="1:16" s="85" customFormat="1" ht="19.5" customHeight="1">
      <c r="A30" s="80"/>
      <c r="B30" s="657"/>
      <c r="C30" s="657"/>
      <c r="D30" s="657"/>
      <c r="E30" s="82"/>
      <c r="F30" s="82"/>
      <c r="G30" s="83"/>
      <c r="H30" s="83"/>
      <c r="I30" s="83"/>
      <c r="J30" s="658"/>
      <c r="K30" s="658"/>
      <c r="L30" s="658"/>
      <c r="M30" s="658"/>
      <c r="N30" s="658"/>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72" t="s">
        <v>291</v>
      </c>
      <c r="C32" s="672"/>
      <c r="D32" s="672"/>
      <c r="E32" s="672"/>
      <c r="F32" s="87"/>
      <c r="G32" s="88"/>
      <c r="H32" s="88"/>
      <c r="I32" s="88"/>
      <c r="J32" s="671" t="s">
        <v>291</v>
      </c>
      <c r="K32" s="671"/>
      <c r="L32" s="671"/>
      <c r="M32" s="671"/>
      <c r="N32" s="671"/>
      <c r="O32" s="84"/>
      <c r="P32" s="84"/>
    </row>
    <row r="33" spans="1:16" s="85" customFormat="1" ht="19.5" customHeight="1">
      <c r="A33" s="80"/>
      <c r="B33" s="633" t="s">
        <v>292</v>
      </c>
      <c r="C33" s="633"/>
      <c r="D33" s="633"/>
      <c r="E33" s="633"/>
      <c r="F33" s="82"/>
      <c r="G33" s="83"/>
      <c r="H33" s="83"/>
      <c r="I33" s="83"/>
      <c r="J33" s="81"/>
      <c r="K33" s="633" t="s">
        <v>292</v>
      </c>
      <c r="L33" s="633"/>
      <c r="M33" s="63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31" t="s">
        <v>248</v>
      </c>
      <c r="C36" s="631"/>
      <c r="D36" s="631"/>
      <c r="E36" s="631"/>
      <c r="F36" s="91"/>
      <c r="G36" s="91"/>
      <c r="H36" s="91"/>
      <c r="I36" s="91"/>
      <c r="J36" s="632" t="s">
        <v>249</v>
      </c>
      <c r="K36" s="632"/>
      <c r="L36" s="632"/>
      <c r="M36" s="632"/>
      <c r="N36" s="63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708" t="s">
        <v>26</v>
      </c>
      <c r="B1" s="708"/>
      <c r="C1" s="98"/>
      <c r="D1" s="711" t="s">
        <v>352</v>
      </c>
      <c r="E1" s="711"/>
      <c r="F1" s="711"/>
      <c r="G1" s="711"/>
      <c r="H1" s="711"/>
      <c r="I1" s="711"/>
      <c r="J1" s="711"/>
      <c r="K1" s="711"/>
      <c r="L1" s="711"/>
      <c r="M1" s="682" t="s">
        <v>293</v>
      </c>
      <c r="N1" s="683"/>
      <c r="O1" s="683"/>
      <c r="P1" s="683"/>
    </row>
    <row r="2" spans="1:16" s="42" customFormat="1" ht="34.5" customHeight="1">
      <c r="A2" s="710" t="s">
        <v>294</v>
      </c>
      <c r="B2" s="710"/>
      <c r="C2" s="710"/>
      <c r="D2" s="711"/>
      <c r="E2" s="711"/>
      <c r="F2" s="711"/>
      <c r="G2" s="711"/>
      <c r="H2" s="711"/>
      <c r="I2" s="711"/>
      <c r="J2" s="711"/>
      <c r="K2" s="711"/>
      <c r="L2" s="711"/>
      <c r="M2" s="684" t="s">
        <v>353</v>
      </c>
      <c r="N2" s="685"/>
      <c r="O2" s="685"/>
      <c r="P2" s="685"/>
    </row>
    <row r="3" spans="1:16" s="42" customFormat="1" ht="19.5" customHeight="1">
      <c r="A3" s="709" t="s">
        <v>295</v>
      </c>
      <c r="B3" s="709"/>
      <c r="C3" s="709"/>
      <c r="D3" s="711"/>
      <c r="E3" s="711"/>
      <c r="F3" s="711"/>
      <c r="G3" s="711"/>
      <c r="H3" s="711"/>
      <c r="I3" s="711"/>
      <c r="J3" s="711"/>
      <c r="K3" s="711"/>
      <c r="L3" s="711"/>
      <c r="M3" s="684" t="s">
        <v>296</v>
      </c>
      <c r="N3" s="685"/>
      <c r="O3" s="685"/>
      <c r="P3" s="685"/>
    </row>
    <row r="4" spans="1:16" s="103" customFormat="1" ht="18.75" customHeight="1">
      <c r="A4" s="99"/>
      <c r="B4" s="99"/>
      <c r="C4" s="100"/>
      <c r="D4" s="650"/>
      <c r="E4" s="650"/>
      <c r="F4" s="650"/>
      <c r="G4" s="650"/>
      <c r="H4" s="650"/>
      <c r="I4" s="650"/>
      <c r="J4" s="650"/>
      <c r="K4" s="650"/>
      <c r="L4" s="650"/>
      <c r="M4" s="101" t="s">
        <v>297</v>
      </c>
      <c r="N4" s="102"/>
      <c r="O4" s="102"/>
      <c r="P4" s="102"/>
    </row>
    <row r="5" spans="1:16" ht="49.5" customHeight="1">
      <c r="A5" s="699" t="s">
        <v>57</v>
      </c>
      <c r="B5" s="700"/>
      <c r="C5" s="705" t="s">
        <v>82</v>
      </c>
      <c r="D5" s="688"/>
      <c r="E5" s="688"/>
      <c r="F5" s="688"/>
      <c r="G5" s="688"/>
      <c r="H5" s="688"/>
      <c r="I5" s="688"/>
      <c r="J5" s="688"/>
      <c r="K5" s="686" t="s">
        <v>81</v>
      </c>
      <c r="L5" s="686"/>
      <c r="M5" s="686"/>
      <c r="N5" s="686"/>
      <c r="O5" s="686"/>
      <c r="P5" s="686"/>
    </row>
    <row r="6" spans="1:16" ht="20.25" customHeight="1">
      <c r="A6" s="701"/>
      <c r="B6" s="702"/>
      <c r="C6" s="705" t="s">
        <v>3</v>
      </c>
      <c r="D6" s="688"/>
      <c r="E6" s="688"/>
      <c r="F6" s="689"/>
      <c r="G6" s="686" t="s">
        <v>9</v>
      </c>
      <c r="H6" s="686"/>
      <c r="I6" s="686"/>
      <c r="J6" s="686"/>
      <c r="K6" s="687" t="s">
        <v>3</v>
      </c>
      <c r="L6" s="687"/>
      <c r="M6" s="687"/>
      <c r="N6" s="690" t="s">
        <v>9</v>
      </c>
      <c r="O6" s="690"/>
      <c r="P6" s="690"/>
    </row>
    <row r="7" spans="1:16" ht="52.5" customHeight="1">
      <c r="A7" s="701"/>
      <c r="B7" s="702"/>
      <c r="C7" s="706" t="s">
        <v>298</v>
      </c>
      <c r="D7" s="688" t="s">
        <v>78</v>
      </c>
      <c r="E7" s="688"/>
      <c r="F7" s="689"/>
      <c r="G7" s="686" t="s">
        <v>299</v>
      </c>
      <c r="H7" s="686" t="s">
        <v>78</v>
      </c>
      <c r="I7" s="686"/>
      <c r="J7" s="686"/>
      <c r="K7" s="686" t="s">
        <v>32</v>
      </c>
      <c r="L7" s="686" t="s">
        <v>79</v>
      </c>
      <c r="M7" s="686"/>
      <c r="N7" s="686" t="s">
        <v>64</v>
      </c>
      <c r="O7" s="686" t="s">
        <v>79</v>
      </c>
      <c r="P7" s="686"/>
    </row>
    <row r="8" spans="1:16" ht="15.75" customHeight="1">
      <c r="A8" s="701"/>
      <c r="B8" s="702"/>
      <c r="C8" s="706"/>
      <c r="D8" s="686" t="s">
        <v>36</v>
      </c>
      <c r="E8" s="686" t="s">
        <v>37</v>
      </c>
      <c r="F8" s="686" t="s">
        <v>40</v>
      </c>
      <c r="G8" s="686"/>
      <c r="H8" s="686" t="s">
        <v>36</v>
      </c>
      <c r="I8" s="686" t="s">
        <v>37</v>
      </c>
      <c r="J8" s="686" t="s">
        <v>40</v>
      </c>
      <c r="K8" s="686"/>
      <c r="L8" s="686" t="s">
        <v>14</v>
      </c>
      <c r="M8" s="686" t="s">
        <v>13</v>
      </c>
      <c r="N8" s="686"/>
      <c r="O8" s="686" t="s">
        <v>14</v>
      </c>
      <c r="P8" s="686" t="s">
        <v>13</v>
      </c>
    </row>
    <row r="9" spans="1:16" ht="44.25" customHeight="1">
      <c r="A9" s="703"/>
      <c r="B9" s="704"/>
      <c r="C9" s="707"/>
      <c r="D9" s="686"/>
      <c r="E9" s="686"/>
      <c r="F9" s="686"/>
      <c r="G9" s="686"/>
      <c r="H9" s="686"/>
      <c r="I9" s="686"/>
      <c r="J9" s="686"/>
      <c r="K9" s="686"/>
      <c r="L9" s="686"/>
      <c r="M9" s="686"/>
      <c r="N9" s="686"/>
      <c r="O9" s="686"/>
      <c r="P9" s="686"/>
    </row>
    <row r="10" spans="1:16" ht="15" customHeight="1">
      <c r="A10" s="697" t="s">
        <v>6</v>
      </c>
      <c r="B10" s="698"/>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91" t="s">
        <v>300</v>
      </c>
      <c r="B11" s="69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93" t="s">
        <v>301</v>
      </c>
      <c r="B12" s="69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95" t="s">
        <v>33</v>
      </c>
      <c r="B13" s="69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78" t="s">
        <v>354</v>
      </c>
      <c r="C28" s="679"/>
      <c r="D28" s="679"/>
      <c r="E28" s="679"/>
      <c r="F28" s="123"/>
      <c r="G28" s="123"/>
      <c r="H28" s="123"/>
      <c r="I28" s="123"/>
      <c r="J28" s="123"/>
      <c r="K28" s="673" t="s">
        <v>355</v>
      </c>
      <c r="L28" s="673"/>
      <c r="M28" s="673"/>
      <c r="N28" s="673"/>
      <c r="O28" s="673"/>
      <c r="P28" s="673"/>
      <c r="AG28" s="73" t="s">
        <v>289</v>
      </c>
      <c r="AI28" s="113">
        <f>82/88</f>
        <v>0.9318181818181818</v>
      </c>
    </row>
    <row r="29" spans="2:16" ht="16.5">
      <c r="B29" s="679"/>
      <c r="C29" s="679"/>
      <c r="D29" s="679"/>
      <c r="E29" s="679"/>
      <c r="F29" s="123"/>
      <c r="G29" s="123"/>
      <c r="H29" s="123"/>
      <c r="I29" s="123"/>
      <c r="J29" s="123"/>
      <c r="K29" s="673"/>
      <c r="L29" s="673"/>
      <c r="M29" s="673"/>
      <c r="N29" s="673"/>
      <c r="O29" s="673"/>
      <c r="P29" s="673"/>
    </row>
    <row r="30" spans="2:16" ht="21" customHeight="1">
      <c r="B30" s="679"/>
      <c r="C30" s="679"/>
      <c r="D30" s="679"/>
      <c r="E30" s="679"/>
      <c r="F30" s="123"/>
      <c r="G30" s="123"/>
      <c r="H30" s="123"/>
      <c r="I30" s="123"/>
      <c r="J30" s="123"/>
      <c r="K30" s="673"/>
      <c r="L30" s="673"/>
      <c r="M30" s="673"/>
      <c r="N30" s="673"/>
      <c r="O30" s="673"/>
      <c r="P30" s="673"/>
    </row>
    <row r="32" spans="2:16" ht="16.5" customHeight="1">
      <c r="B32" s="681" t="s">
        <v>292</v>
      </c>
      <c r="C32" s="681"/>
      <c r="D32" s="681"/>
      <c r="E32" s="124"/>
      <c r="F32" s="124"/>
      <c r="G32" s="124"/>
      <c r="H32" s="124"/>
      <c r="I32" s="124"/>
      <c r="J32" s="124"/>
      <c r="K32" s="680" t="s">
        <v>356</v>
      </c>
      <c r="L32" s="680"/>
      <c r="M32" s="680"/>
      <c r="N32" s="680"/>
      <c r="O32" s="680"/>
      <c r="P32" s="680"/>
    </row>
    <row r="33" ht="12.75" customHeight="1"/>
    <row r="34" spans="2:5" ht="15.75">
      <c r="B34" s="125"/>
      <c r="C34" s="125"/>
      <c r="D34" s="125"/>
      <c r="E34" s="125"/>
    </row>
    <row r="35" ht="15.75" hidden="1"/>
    <row r="36" spans="2:16" ht="15.75">
      <c r="B36" s="676" t="s">
        <v>248</v>
      </c>
      <c r="C36" s="676"/>
      <c r="D36" s="676"/>
      <c r="E36" s="676"/>
      <c r="F36" s="126"/>
      <c r="G36" s="126"/>
      <c r="H36" s="126"/>
      <c r="I36" s="126"/>
      <c r="K36" s="677" t="s">
        <v>249</v>
      </c>
      <c r="L36" s="677"/>
      <c r="M36" s="677"/>
      <c r="N36" s="677"/>
      <c r="O36" s="677"/>
      <c r="P36" s="677"/>
    </row>
    <row r="39" ht="15.75">
      <c r="A39" s="128" t="s">
        <v>41</v>
      </c>
    </row>
    <row r="40" spans="1:6" ht="15.75">
      <c r="A40" s="129"/>
      <c r="B40" s="130" t="s">
        <v>50</v>
      </c>
      <c r="C40" s="130"/>
      <c r="D40" s="130"/>
      <c r="E40" s="130"/>
      <c r="F40" s="130"/>
    </row>
    <row r="41" spans="1:14" ht="15.75" customHeight="1">
      <c r="A41" s="131" t="s">
        <v>25</v>
      </c>
      <c r="B41" s="675" t="s">
        <v>53</v>
      </c>
      <c r="C41" s="675"/>
      <c r="D41" s="675"/>
      <c r="E41" s="675"/>
      <c r="F41" s="675"/>
      <c r="G41" s="131"/>
      <c r="H41" s="131"/>
      <c r="I41" s="131"/>
      <c r="J41" s="131"/>
      <c r="K41" s="131"/>
      <c r="L41" s="131"/>
      <c r="M41" s="131"/>
      <c r="N41" s="131"/>
    </row>
    <row r="42" spans="1:14" ht="15" customHeight="1">
      <c r="A42" s="131"/>
      <c r="B42" s="674" t="s">
        <v>54</v>
      </c>
      <c r="C42" s="674"/>
      <c r="D42" s="674"/>
      <c r="E42" s="674"/>
      <c r="F42" s="674"/>
      <c r="G42" s="674"/>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54" t="s">
        <v>99</v>
      </c>
      <c r="B1" s="654"/>
      <c r="C1" s="654"/>
      <c r="D1" s="731" t="s">
        <v>357</v>
      </c>
      <c r="E1" s="731"/>
      <c r="F1" s="731"/>
      <c r="G1" s="731"/>
      <c r="H1" s="731"/>
      <c r="I1" s="731"/>
      <c r="J1" s="728" t="s">
        <v>358</v>
      </c>
      <c r="K1" s="729"/>
      <c r="L1" s="729"/>
    </row>
    <row r="2" spans="1:13" ht="15.75" customHeight="1">
      <c r="A2" s="730" t="s">
        <v>303</v>
      </c>
      <c r="B2" s="730"/>
      <c r="C2" s="730"/>
      <c r="D2" s="731"/>
      <c r="E2" s="731"/>
      <c r="F2" s="731"/>
      <c r="G2" s="731"/>
      <c r="H2" s="731"/>
      <c r="I2" s="731"/>
      <c r="J2" s="729" t="s">
        <v>304</v>
      </c>
      <c r="K2" s="729"/>
      <c r="L2" s="729"/>
      <c r="M2" s="133"/>
    </row>
    <row r="3" spans="1:13" ht="15.75" customHeight="1">
      <c r="A3" s="655" t="s">
        <v>255</v>
      </c>
      <c r="B3" s="655"/>
      <c r="C3" s="655"/>
      <c r="D3" s="731"/>
      <c r="E3" s="731"/>
      <c r="F3" s="731"/>
      <c r="G3" s="731"/>
      <c r="H3" s="731"/>
      <c r="I3" s="731"/>
      <c r="J3" s="728" t="s">
        <v>359</v>
      </c>
      <c r="K3" s="728"/>
      <c r="L3" s="728"/>
      <c r="M3" s="37"/>
    </row>
    <row r="4" spans="1:13" ht="15.75" customHeight="1">
      <c r="A4" s="739" t="s">
        <v>257</v>
      </c>
      <c r="B4" s="739"/>
      <c r="C4" s="739"/>
      <c r="D4" s="733"/>
      <c r="E4" s="733"/>
      <c r="F4" s="733"/>
      <c r="G4" s="733"/>
      <c r="H4" s="733"/>
      <c r="I4" s="733"/>
      <c r="J4" s="729" t="s">
        <v>305</v>
      </c>
      <c r="K4" s="729"/>
      <c r="L4" s="729"/>
      <c r="M4" s="133"/>
    </row>
    <row r="5" spans="1:13" ht="15.75">
      <c r="A5" s="134"/>
      <c r="B5" s="134"/>
      <c r="C5" s="34"/>
      <c r="D5" s="34"/>
      <c r="E5" s="34"/>
      <c r="F5" s="34"/>
      <c r="G5" s="34"/>
      <c r="H5" s="34"/>
      <c r="I5" s="34"/>
      <c r="J5" s="732" t="s">
        <v>8</v>
      </c>
      <c r="K5" s="732"/>
      <c r="L5" s="732"/>
      <c r="M5" s="133"/>
    </row>
    <row r="6" spans="1:14" ht="15.75">
      <c r="A6" s="714" t="s">
        <v>57</v>
      </c>
      <c r="B6" s="715"/>
      <c r="C6" s="686" t="s">
        <v>306</v>
      </c>
      <c r="D6" s="738" t="s">
        <v>307</v>
      </c>
      <c r="E6" s="738"/>
      <c r="F6" s="738"/>
      <c r="G6" s="738"/>
      <c r="H6" s="738"/>
      <c r="I6" s="738"/>
      <c r="J6" s="651" t="s">
        <v>97</v>
      </c>
      <c r="K6" s="651"/>
      <c r="L6" s="651"/>
      <c r="M6" s="740" t="s">
        <v>308</v>
      </c>
      <c r="N6" s="741" t="s">
        <v>309</v>
      </c>
    </row>
    <row r="7" spans="1:14" ht="15.75" customHeight="1">
      <c r="A7" s="716"/>
      <c r="B7" s="717"/>
      <c r="C7" s="686"/>
      <c r="D7" s="738" t="s">
        <v>7</v>
      </c>
      <c r="E7" s="738"/>
      <c r="F7" s="738"/>
      <c r="G7" s="738"/>
      <c r="H7" s="738"/>
      <c r="I7" s="738"/>
      <c r="J7" s="651"/>
      <c r="K7" s="651"/>
      <c r="L7" s="651"/>
      <c r="M7" s="740"/>
      <c r="N7" s="741"/>
    </row>
    <row r="8" spans="1:14" s="73" customFormat="1" ht="31.5" customHeight="1">
      <c r="A8" s="716"/>
      <c r="B8" s="717"/>
      <c r="C8" s="686"/>
      <c r="D8" s="651" t="s">
        <v>95</v>
      </c>
      <c r="E8" s="651" t="s">
        <v>96</v>
      </c>
      <c r="F8" s="651"/>
      <c r="G8" s="651"/>
      <c r="H8" s="651"/>
      <c r="I8" s="651"/>
      <c r="J8" s="651"/>
      <c r="K8" s="651"/>
      <c r="L8" s="651"/>
      <c r="M8" s="740"/>
      <c r="N8" s="741"/>
    </row>
    <row r="9" spans="1:14" s="73" customFormat="1" ht="15.75" customHeight="1">
      <c r="A9" s="716"/>
      <c r="B9" s="717"/>
      <c r="C9" s="686"/>
      <c r="D9" s="651"/>
      <c r="E9" s="651" t="s">
        <v>98</v>
      </c>
      <c r="F9" s="651" t="s">
        <v>7</v>
      </c>
      <c r="G9" s="651"/>
      <c r="H9" s="651"/>
      <c r="I9" s="651"/>
      <c r="J9" s="651" t="s">
        <v>7</v>
      </c>
      <c r="K9" s="651"/>
      <c r="L9" s="651"/>
      <c r="M9" s="740"/>
      <c r="N9" s="741"/>
    </row>
    <row r="10" spans="1:14" s="73" customFormat="1" ht="86.25" customHeight="1">
      <c r="A10" s="718"/>
      <c r="B10" s="719"/>
      <c r="C10" s="686"/>
      <c r="D10" s="651"/>
      <c r="E10" s="651"/>
      <c r="F10" s="104" t="s">
        <v>22</v>
      </c>
      <c r="G10" s="104" t="s">
        <v>24</v>
      </c>
      <c r="H10" s="104" t="s">
        <v>16</v>
      </c>
      <c r="I10" s="104" t="s">
        <v>23</v>
      </c>
      <c r="J10" s="104" t="s">
        <v>15</v>
      </c>
      <c r="K10" s="104" t="s">
        <v>20</v>
      </c>
      <c r="L10" s="104" t="s">
        <v>21</v>
      </c>
      <c r="M10" s="740"/>
      <c r="N10" s="741"/>
    </row>
    <row r="11" spans="1:32" ht="13.5" customHeight="1">
      <c r="A11" s="724" t="s">
        <v>5</v>
      </c>
      <c r="B11" s="725"/>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736" t="s">
        <v>300</v>
      </c>
      <c r="B12" s="73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34" t="s">
        <v>256</v>
      </c>
      <c r="B13" s="735"/>
      <c r="C13" s="139">
        <v>59</v>
      </c>
      <c r="D13" s="139">
        <v>43</v>
      </c>
      <c r="E13" s="139">
        <v>0</v>
      </c>
      <c r="F13" s="139">
        <v>5</v>
      </c>
      <c r="G13" s="139">
        <v>2</v>
      </c>
      <c r="H13" s="139">
        <v>7</v>
      </c>
      <c r="I13" s="139">
        <v>2</v>
      </c>
      <c r="J13" s="139">
        <v>10</v>
      </c>
      <c r="K13" s="139">
        <v>44</v>
      </c>
      <c r="L13" s="139">
        <v>5</v>
      </c>
      <c r="M13" s="136"/>
      <c r="N13" s="137"/>
    </row>
    <row r="14" spans="1:37" s="52" customFormat="1" ht="16.5" customHeight="1">
      <c r="A14" s="722" t="s">
        <v>30</v>
      </c>
      <c r="B14" s="723"/>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660" t="s">
        <v>360</v>
      </c>
      <c r="B29" s="726"/>
      <c r="C29" s="726"/>
      <c r="D29" s="726"/>
      <c r="E29" s="158"/>
      <c r="F29" s="158"/>
      <c r="G29" s="158"/>
      <c r="H29" s="712" t="s">
        <v>310</v>
      </c>
      <c r="I29" s="712"/>
      <c r="J29" s="712"/>
      <c r="K29" s="712"/>
      <c r="L29" s="712"/>
      <c r="M29" s="159"/>
    </row>
    <row r="30" spans="1:12" ht="18.75">
      <c r="A30" s="726"/>
      <c r="B30" s="726"/>
      <c r="C30" s="726"/>
      <c r="D30" s="726"/>
      <c r="E30" s="158"/>
      <c r="F30" s="158"/>
      <c r="G30" s="158"/>
      <c r="H30" s="713" t="s">
        <v>311</v>
      </c>
      <c r="I30" s="713"/>
      <c r="J30" s="713"/>
      <c r="K30" s="713"/>
      <c r="L30" s="713"/>
    </row>
    <row r="31" spans="1:12" s="32" customFormat="1" ht="16.5" customHeight="1">
      <c r="A31" s="657"/>
      <c r="B31" s="657"/>
      <c r="C31" s="657"/>
      <c r="D31" s="657"/>
      <c r="E31" s="160"/>
      <c r="F31" s="160"/>
      <c r="G31" s="160"/>
      <c r="H31" s="658"/>
      <c r="I31" s="658"/>
      <c r="J31" s="658"/>
      <c r="K31" s="658"/>
      <c r="L31" s="658"/>
    </row>
    <row r="32" spans="1:12" ht="18.75">
      <c r="A32" s="89"/>
      <c r="B32" s="657" t="s">
        <v>292</v>
      </c>
      <c r="C32" s="657"/>
      <c r="D32" s="657"/>
      <c r="E32" s="160"/>
      <c r="F32" s="160"/>
      <c r="G32" s="160"/>
      <c r="H32" s="160"/>
      <c r="I32" s="727" t="s">
        <v>292</v>
      </c>
      <c r="J32" s="727"/>
      <c r="K32" s="72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31" t="s">
        <v>248</v>
      </c>
      <c r="B37" s="631"/>
      <c r="C37" s="631"/>
      <c r="D37" s="631"/>
      <c r="E37" s="91"/>
      <c r="F37" s="91"/>
      <c r="G37" s="91"/>
      <c r="H37" s="632" t="s">
        <v>248</v>
      </c>
      <c r="I37" s="632"/>
      <c r="J37" s="632"/>
      <c r="K37" s="632"/>
      <c r="L37" s="63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21" t="s">
        <v>50</v>
      </c>
      <c r="C40" s="721"/>
      <c r="D40" s="721"/>
      <c r="E40" s="721"/>
      <c r="F40" s="721"/>
      <c r="G40" s="721"/>
      <c r="H40" s="721"/>
      <c r="I40" s="721"/>
      <c r="J40" s="721"/>
      <c r="K40" s="721"/>
      <c r="L40" s="721"/>
    </row>
    <row r="41" spans="1:12" ht="16.5" customHeight="1">
      <c r="A41" s="165"/>
      <c r="B41" s="720" t="s">
        <v>52</v>
      </c>
      <c r="C41" s="720"/>
      <c r="D41" s="720"/>
      <c r="E41" s="720"/>
      <c r="F41" s="720"/>
      <c r="G41" s="720"/>
      <c r="H41" s="720"/>
      <c r="I41" s="720"/>
      <c r="J41" s="720"/>
      <c r="K41" s="720"/>
      <c r="L41" s="720"/>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76" t="s">
        <v>137</v>
      </c>
      <c r="B1" s="776"/>
      <c r="C1" s="776"/>
      <c r="D1" s="772" t="s">
        <v>314</v>
      </c>
      <c r="E1" s="773"/>
      <c r="F1" s="773"/>
      <c r="G1" s="773"/>
      <c r="H1" s="773"/>
      <c r="I1" s="773"/>
      <c r="J1" s="773"/>
      <c r="K1" s="773"/>
      <c r="L1" s="773"/>
      <c r="M1" s="773"/>
      <c r="N1" s="773"/>
      <c r="O1" s="212"/>
      <c r="P1" s="169" t="s">
        <v>364</v>
      </c>
      <c r="Q1" s="168"/>
      <c r="R1" s="168"/>
      <c r="S1" s="168"/>
      <c r="T1" s="168"/>
      <c r="U1" s="212"/>
    </row>
    <row r="2" spans="1:21" ht="16.5" customHeight="1">
      <c r="A2" s="774" t="s">
        <v>315</v>
      </c>
      <c r="B2" s="774"/>
      <c r="C2" s="774"/>
      <c r="D2" s="773"/>
      <c r="E2" s="773"/>
      <c r="F2" s="773"/>
      <c r="G2" s="773"/>
      <c r="H2" s="773"/>
      <c r="I2" s="773"/>
      <c r="J2" s="773"/>
      <c r="K2" s="773"/>
      <c r="L2" s="773"/>
      <c r="M2" s="773"/>
      <c r="N2" s="773"/>
      <c r="O2" s="213"/>
      <c r="P2" s="765" t="s">
        <v>316</v>
      </c>
      <c r="Q2" s="765"/>
      <c r="R2" s="765"/>
      <c r="S2" s="765"/>
      <c r="T2" s="765"/>
      <c r="U2" s="213"/>
    </row>
    <row r="3" spans="1:21" ht="16.5" customHeight="1">
      <c r="A3" s="745" t="s">
        <v>317</v>
      </c>
      <c r="B3" s="745"/>
      <c r="C3" s="745"/>
      <c r="D3" s="777" t="s">
        <v>318</v>
      </c>
      <c r="E3" s="777"/>
      <c r="F3" s="777"/>
      <c r="G3" s="777"/>
      <c r="H3" s="777"/>
      <c r="I3" s="777"/>
      <c r="J3" s="777"/>
      <c r="K3" s="777"/>
      <c r="L3" s="777"/>
      <c r="M3" s="777"/>
      <c r="N3" s="777"/>
      <c r="O3" s="213"/>
      <c r="P3" s="173" t="s">
        <v>363</v>
      </c>
      <c r="Q3" s="213"/>
      <c r="R3" s="213"/>
      <c r="S3" s="213"/>
      <c r="T3" s="213"/>
      <c r="U3" s="213"/>
    </row>
    <row r="4" spans="1:21" ht="16.5" customHeight="1">
      <c r="A4" s="778" t="s">
        <v>257</v>
      </c>
      <c r="B4" s="778"/>
      <c r="C4" s="778"/>
      <c r="D4" s="754"/>
      <c r="E4" s="754"/>
      <c r="F4" s="754"/>
      <c r="G4" s="754"/>
      <c r="H4" s="754"/>
      <c r="I4" s="754"/>
      <c r="J4" s="754"/>
      <c r="K4" s="754"/>
      <c r="L4" s="754"/>
      <c r="M4" s="754"/>
      <c r="N4" s="754"/>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766" t="s">
        <v>57</v>
      </c>
      <c r="B6" s="767"/>
      <c r="C6" s="750" t="s">
        <v>138</v>
      </c>
      <c r="D6" s="775" t="s">
        <v>139</v>
      </c>
      <c r="E6" s="749"/>
      <c r="F6" s="749"/>
      <c r="G6" s="749"/>
      <c r="H6" s="749"/>
      <c r="I6" s="749"/>
      <c r="J6" s="749"/>
      <c r="K6" s="749"/>
      <c r="L6" s="749"/>
      <c r="M6" s="749"/>
      <c r="N6" s="749"/>
      <c r="O6" s="749"/>
      <c r="P6" s="749"/>
      <c r="Q6" s="749"/>
      <c r="R6" s="749"/>
      <c r="S6" s="749"/>
      <c r="T6" s="750" t="s">
        <v>140</v>
      </c>
      <c r="U6" s="216"/>
    </row>
    <row r="7" spans="1:20" s="218" customFormat="1" ht="12.75" customHeight="1">
      <c r="A7" s="768"/>
      <c r="B7" s="769"/>
      <c r="C7" s="750"/>
      <c r="D7" s="751" t="s">
        <v>135</v>
      </c>
      <c r="E7" s="749" t="s">
        <v>7</v>
      </c>
      <c r="F7" s="749"/>
      <c r="G7" s="749"/>
      <c r="H7" s="749"/>
      <c r="I7" s="749"/>
      <c r="J7" s="749"/>
      <c r="K7" s="749"/>
      <c r="L7" s="749"/>
      <c r="M7" s="749"/>
      <c r="N7" s="749"/>
      <c r="O7" s="749"/>
      <c r="P7" s="749"/>
      <c r="Q7" s="749"/>
      <c r="R7" s="749"/>
      <c r="S7" s="749"/>
      <c r="T7" s="750"/>
    </row>
    <row r="8" spans="1:21" s="218" customFormat="1" ht="43.5" customHeight="1">
      <c r="A8" s="768"/>
      <c r="B8" s="769"/>
      <c r="C8" s="750"/>
      <c r="D8" s="752"/>
      <c r="E8" s="782" t="s">
        <v>141</v>
      </c>
      <c r="F8" s="750"/>
      <c r="G8" s="750"/>
      <c r="H8" s="750" t="s">
        <v>142</v>
      </c>
      <c r="I8" s="750"/>
      <c r="J8" s="750"/>
      <c r="K8" s="750" t="s">
        <v>143</v>
      </c>
      <c r="L8" s="750"/>
      <c r="M8" s="750" t="s">
        <v>144</v>
      </c>
      <c r="N8" s="750"/>
      <c r="O8" s="750"/>
      <c r="P8" s="750" t="s">
        <v>145</v>
      </c>
      <c r="Q8" s="750" t="s">
        <v>146</v>
      </c>
      <c r="R8" s="750" t="s">
        <v>147</v>
      </c>
      <c r="S8" s="779" t="s">
        <v>148</v>
      </c>
      <c r="T8" s="750"/>
      <c r="U8" s="742" t="s">
        <v>320</v>
      </c>
    </row>
    <row r="9" spans="1:21" s="218" customFormat="1" ht="44.25" customHeight="1">
      <c r="A9" s="770"/>
      <c r="B9" s="771"/>
      <c r="C9" s="750"/>
      <c r="D9" s="753"/>
      <c r="E9" s="219" t="s">
        <v>149</v>
      </c>
      <c r="F9" s="215" t="s">
        <v>150</v>
      </c>
      <c r="G9" s="215" t="s">
        <v>321</v>
      </c>
      <c r="H9" s="215" t="s">
        <v>151</v>
      </c>
      <c r="I9" s="215" t="s">
        <v>152</v>
      </c>
      <c r="J9" s="215" t="s">
        <v>153</v>
      </c>
      <c r="K9" s="215" t="s">
        <v>150</v>
      </c>
      <c r="L9" s="215" t="s">
        <v>154</v>
      </c>
      <c r="M9" s="215" t="s">
        <v>155</v>
      </c>
      <c r="N9" s="215" t="s">
        <v>156</v>
      </c>
      <c r="O9" s="215" t="s">
        <v>322</v>
      </c>
      <c r="P9" s="750"/>
      <c r="Q9" s="750"/>
      <c r="R9" s="750"/>
      <c r="S9" s="779"/>
      <c r="T9" s="750"/>
      <c r="U9" s="743"/>
    </row>
    <row r="10" spans="1:21" s="222" customFormat="1" ht="15.75" customHeight="1">
      <c r="A10" s="746" t="s">
        <v>6</v>
      </c>
      <c r="B10" s="74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43"/>
    </row>
    <row r="11" spans="1:21" s="222" customFormat="1" ht="15.75" customHeight="1">
      <c r="A11" s="780" t="s">
        <v>300</v>
      </c>
      <c r="B11" s="78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44"/>
    </row>
    <row r="12" spans="1:21" s="222" customFormat="1" ht="15.75" customHeight="1">
      <c r="A12" s="756" t="s">
        <v>301</v>
      </c>
      <c r="B12" s="75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62" t="s">
        <v>30</v>
      </c>
      <c r="B13" s="76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48" t="s">
        <v>288</v>
      </c>
      <c r="C28" s="748"/>
      <c r="D28" s="748"/>
      <c r="E28" s="748"/>
      <c r="F28" s="181"/>
      <c r="G28" s="181"/>
      <c r="H28" s="181"/>
      <c r="I28" s="181"/>
      <c r="J28" s="181"/>
      <c r="K28" s="181" t="s">
        <v>157</v>
      </c>
      <c r="L28" s="182"/>
      <c r="M28" s="755" t="s">
        <v>323</v>
      </c>
      <c r="N28" s="755"/>
      <c r="O28" s="755"/>
      <c r="P28" s="755"/>
      <c r="Q28" s="755"/>
      <c r="R28" s="755"/>
      <c r="S28" s="755"/>
      <c r="T28" s="755"/>
    </row>
    <row r="29" spans="1:20" s="233" customFormat="1" ht="18.75" customHeight="1">
      <c r="A29" s="232"/>
      <c r="B29" s="761" t="s">
        <v>158</v>
      </c>
      <c r="C29" s="761"/>
      <c r="D29" s="761"/>
      <c r="E29" s="234"/>
      <c r="F29" s="183"/>
      <c r="G29" s="183"/>
      <c r="H29" s="183"/>
      <c r="I29" s="183"/>
      <c r="J29" s="183"/>
      <c r="K29" s="183"/>
      <c r="L29" s="182"/>
      <c r="M29" s="764" t="s">
        <v>312</v>
      </c>
      <c r="N29" s="764"/>
      <c r="O29" s="764"/>
      <c r="P29" s="764"/>
      <c r="Q29" s="764"/>
      <c r="R29" s="764"/>
      <c r="S29" s="764"/>
      <c r="T29" s="764"/>
    </row>
    <row r="30" spans="1:20" s="233" customFormat="1" ht="18.75">
      <c r="A30" s="184"/>
      <c r="B30" s="758"/>
      <c r="C30" s="758"/>
      <c r="D30" s="758"/>
      <c r="E30" s="186"/>
      <c r="F30" s="186"/>
      <c r="G30" s="186"/>
      <c r="H30" s="186"/>
      <c r="I30" s="186"/>
      <c r="J30" s="186"/>
      <c r="K30" s="186"/>
      <c r="L30" s="186"/>
      <c r="M30" s="759"/>
      <c r="N30" s="759"/>
      <c r="O30" s="759"/>
      <c r="P30" s="759"/>
      <c r="Q30" s="759"/>
      <c r="R30" s="759"/>
      <c r="S30" s="759"/>
      <c r="T30" s="75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760" t="s">
        <v>292</v>
      </c>
      <c r="C36" s="760"/>
      <c r="D36" s="760"/>
      <c r="E36" s="236"/>
      <c r="F36" s="236"/>
      <c r="G36" s="236"/>
      <c r="H36" s="236"/>
      <c r="I36" s="236"/>
      <c r="J36" s="236"/>
      <c r="K36" s="236"/>
      <c r="L36" s="236"/>
      <c r="M36" s="236"/>
      <c r="N36" s="760" t="s">
        <v>292</v>
      </c>
      <c r="O36" s="760"/>
      <c r="P36" s="760"/>
      <c r="Q36" s="760"/>
      <c r="R36" s="760"/>
      <c r="S36" s="76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31" t="s">
        <v>248</v>
      </c>
      <c r="C38" s="631"/>
      <c r="D38" s="631"/>
      <c r="E38" s="210"/>
      <c r="F38" s="210"/>
      <c r="G38" s="210"/>
      <c r="H38" s="210"/>
      <c r="I38" s="182"/>
      <c r="J38" s="182"/>
      <c r="K38" s="182"/>
      <c r="L38" s="182"/>
      <c r="M38" s="632" t="s">
        <v>249</v>
      </c>
      <c r="N38" s="632"/>
      <c r="O38" s="632"/>
      <c r="P38" s="632"/>
      <c r="Q38" s="632"/>
      <c r="R38" s="632"/>
      <c r="S38" s="632"/>
      <c r="T38" s="63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07" t="s">
        <v>163</v>
      </c>
      <c r="B1" s="807"/>
      <c r="C1" s="807"/>
      <c r="D1" s="238"/>
      <c r="E1" s="816" t="s">
        <v>164</v>
      </c>
      <c r="F1" s="816"/>
      <c r="G1" s="816"/>
      <c r="H1" s="816"/>
      <c r="I1" s="816"/>
      <c r="J1" s="816"/>
      <c r="K1" s="816"/>
      <c r="L1" s="816"/>
      <c r="M1" s="816"/>
      <c r="N1" s="816"/>
      <c r="O1" s="191"/>
      <c r="P1" s="812" t="s">
        <v>362</v>
      </c>
      <c r="Q1" s="812"/>
      <c r="R1" s="812"/>
      <c r="S1" s="812"/>
      <c r="T1" s="812"/>
    </row>
    <row r="2" spans="1:20" ht="15.75" customHeight="1">
      <c r="A2" s="808" t="s">
        <v>324</v>
      </c>
      <c r="B2" s="808"/>
      <c r="C2" s="808"/>
      <c r="D2" s="808"/>
      <c r="E2" s="810" t="s">
        <v>165</v>
      </c>
      <c r="F2" s="810"/>
      <c r="G2" s="810"/>
      <c r="H2" s="810"/>
      <c r="I2" s="810"/>
      <c r="J2" s="810"/>
      <c r="K2" s="810"/>
      <c r="L2" s="810"/>
      <c r="M2" s="810"/>
      <c r="N2" s="810"/>
      <c r="O2" s="194"/>
      <c r="P2" s="813" t="s">
        <v>304</v>
      </c>
      <c r="Q2" s="813"/>
      <c r="R2" s="813"/>
      <c r="S2" s="813"/>
      <c r="T2" s="813"/>
    </row>
    <row r="3" spans="1:20" ht="17.25">
      <c r="A3" s="808" t="s">
        <v>255</v>
      </c>
      <c r="B3" s="808"/>
      <c r="C3" s="808"/>
      <c r="D3" s="239"/>
      <c r="E3" s="818" t="s">
        <v>256</v>
      </c>
      <c r="F3" s="818"/>
      <c r="G3" s="818"/>
      <c r="H3" s="818"/>
      <c r="I3" s="818"/>
      <c r="J3" s="818"/>
      <c r="K3" s="818"/>
      <c r="L3" s="818"/>
      <c r="M3" s="818"/>
      <c r="N3" s="818"/>
      <c r="O3" s="194"/>
      <c r="P3" s="814" t="s">
        <v>363</v>
      </c>
      <c r="Q3" s="814"/>
      <c r="R3" s="814"/>
      <c r="S3" s="814"/>
      <c r="T3" s="814"/>
    </row>
    <row r="4" spans="1:20" ht="18.75" customHeight="1">
      <c r="A4" s="809" t="s">
        <v>257</v>
      </c>
      <c r="B4" s="809"/>
      <c r="C4" s="809"/>
      <c r="D4" s="811"/>
      <c r="E4" s="811"/>
      <c r="F4" s="811"/>
      <c r="G4" s="811"/>
      <c r="H4" s="811"/>
      <c r="I4" s="811"/>
      <c r="J4" s="811"/>
      <c r="K4" s="811"/>
      <c r="L4" s="811"/>
      <c r="M4" s="811"/>
      <c r="N4" s="811"/>
      <c r="O4" s="195"/>
      <c r="P4" s="813" t="s">
        <v>296</v>
      </c>
      <c r="Q4" s="814"/>
      <c r="R4" s="814"/>
      <c r="S4" s="814"/>
      <c r="T4" s="814"/>
    </row>
    <row r="5" spans="1:23" ht="15">
      <c r="A5" s="208"/>
      <c r="B5" s="208"/>
      <c r="C5" s="240"/>
      <c r="D5" s="240"/>
      <c r="E5" s="208"/>
      <c r="F5" s="208"/>
      <c r="G5" s="208"/>
      <c r="H5" s="208"/>
      <c r="I5" s="208"/>
      <c r="J5" s="208"/>
      <c r="K5" s="208"/>
      <c r="L5" s="208"/>
      <c r="P5" s="797" t="s">
        <v>319</v>
      </c>
      <c r="Q5" s="797"/>
      <c r="R5" s="797"/>
      <c r="S5" s="797"/>
      <c r="T5" s="797"/>
      <c r="U5" s="241"/>
      <c r="V5" s="241"/>
      <c r="W5" s="241"/>
    </row>
    <row r="6" spans="1:23" ht="29.25" customHeight="1">
      <c r="A6" s="766" t="s">
        <v>57</v>
      </c>
      <c r="B6" s="794"/>
      <c r="C6" s="789" t="s">
        <v>2</v>
      </c>
      <c r="D6" s="798" t="s">
        <v>166</v>
      </c>
      <c r="E6" s="799"/>
      <c r="F6" s="799"/>
      <c r="G6" s="799"/>
      <c r="H6" s="799"/>
      <c r="I6" s="799"/>
      <c r="J6" s="800"/>
      <c r="K6" s="819" t="s">
        <v>167</v>
      </c>
      <c r="L6" s="820"/>
      <c r="M6" s="820"/>
      <c r="N6" s="820"/>
      <c r="O6" s="820"/>
      <c r="P6" s="820"/>
      <c r="Q6" s="820"/>
      <c r="R6" s="820"/>
      <c r="S6" s="820"/>
      <c r="T6" s="821"/>
      <c r="U6" s="242"/>
      <c r="V6" s="243"/>
      <c r="W6" s="243"/>
    </row>
    <row r="7" spans="1:20" ht="19.5" customHeight="1">
      <c r="A7" s="768"/>
      <c r="B7" s="795"/>
      <c r="C7" s="790"/>
      <c r="D7" s="799" t="s">
        <v>7</v>
      </c>
      <c r="E7" s="799"/>
      <c r="F7" s="799"/>
      <c r="G7" s="799"/>
      <c r="H7" s="799"/>
      <c r="I7" s="799"/>
      <c r="J7" s="800"/>
      <c r="K7" s="822"/>
      <c r="L7" s="823"/>
      <c r="M7" s="823"/>
      <c r="N7" s="823"/>
      <c r="O7" s="823"/>
      <c r="P7" s="823"/>
      <c r="Q7" s="823"/>
      <c r="R7" s="823"/>
      <c r="S7" s="823"/>
      <c r="T7" s="824"/>
    </row>
    <row r="8" spans="1:20" ht="33" customHeight="1">
      <c r="A8" s="768"/>
      <c r="B8" s="795"/>
      <c r="C8" s="790"/>
      <c r="D8" s="787" t="s">
        <v>168</v>
      </c>
      <c r="E8" s="825"/>
      <c r="F8" s="788" t="s">
        <v>169</v>
      </c>
      <c r="G8" s="825"/>
      <c r="H8" s="788" t="s">
        <v>170</v>
      </c>
      <c r="I8" s="825"/>
      <c r="J8" s="788" t="s">
        <v>171</v>
      </c>
      <c r="K8" s="815" t="s">
        <v>172</v>
      </c>
      <c r="L8" s="815"/>
      <c r="M8" s="815"/>
      <c r="N8" s="815" t="s">
        <v>173</v>
      </c>
      <c r="O8" s="815"/>
      <c r="P8" s="815"/>
      <c r="Q8" s="788" t="s">
        <v>174</v>
      </c>
      <c r="R8" s="817" t="s">
        <v>175</v>
      </c>
      <c r="S8" s="817" t="s">
        <v>176</v>
      </c>
      <c r="T8" s="788" t="s">
        <v>177</v>
      </c>
    </row>
    <row r="9" spans="1:20" ht="18.75" customHeight="1">
      <c r="A9" s="768"/>
      <c r="B9" s="795"/>
      <c r="C9" s="790"/>
      <c r="D9" s="787" t="s">
        <v>178</v>
      </c>
      <c r="E9" s="788" t="s">
        <v>179</v>
      </c>
      <c r="F9" s="788" t="s">
        <v>178</v>
      </c>
      <c r="G9" s="788" t="s">
        <v>179</v>
      </c>
      <c r="H9" s="788" t="s">
        <v>178</v>
      </c>
      <c r="I9" s="788" t="s">
        <v>180</v>
      </c>
      <c r="J9" s="788"/>
      <c r="K9" s="815"/>
      <c r="L9" s="815"/>
      <c r="M9" s="815"/>
      <c r="N9" s="815"/>
      <c r="O9" s="815"/>
      <c r="P9" s="815"/>
      <c r="Q9" s="788"/>
      <c r="R9" s="817"/>
      <c r="S9" s="817"/>
      <c r="T9" s="788"/>
    </row>
    <row r="10" spans="1:20" ht="23.25" customHeight="1">
      <c r="A10" s="770"/>
      <c r="B10" s="796"/>
      <c r="C10" s="791"/>
      <c r="D10" s="787"/>
      <c r="E10" s="788"/>
      <c r="F10" s="788"/>
      <c r="G10" s="788"/>
      <c r="H10" s="788"/>
      <c r="I10" s="788"/>
      <c r="J10" s="788"/>
      <c r="K10" s="244" t="s">
        <v>181</v>
      </c>
      <c r="L10" s="244" t="s">
        <v>156</v>
      </c>
      <c r="M10" s="244" t="s">
        <v>182</v>
      </c>
      <c r="N10" s="244" t="s">
        <v>181</v>
      </c>
      <c r="O10" s="244" t="s">
        <v>183</v>
      </c>
      <c r="P10" s="244" t="s">
        <v>184</v>
      </c>
      <c r="Q10" s="788"/>
      <c r="R10" s="817"/>
      <c r="S10" s="817"/>
      <c r="T10" s="788"/>
    </row>
    <row r="11" spans="1:32" s="201" customFormat="1" ht="17.25" customHeight="1">
      <c r="A11" s="792" t="s">
        <v>6</v>
      </c>
      <c r="B11" s="793"/>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04" t="s">
        <v>325</v>
      </c>
      <c r="B12" s="805"/>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3" t="s">
        <v>301</v>
      </c>
      <c r="B13" s="78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86" t="s">
        <v>185</v>
      </c>
      <c r="B14" s="78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802" t="s">
        <v>313</v>
      </c>
      <c r="C29" s="802"/>
      <c r="D29" s="802"/>
      <c r="E29" s="802"/>
      <c r="F29" s="258"/>
      <c r="G29" s="258"/>
      <c r="H29" s="258"/>
      <c r="I29" s="258"/>
      <c r="J29" s="258"/>
      <c r="K29" s="258"/>
      <c r="L29" s="206"/>
      <c r="M29" s="801" t="s">
        <v>326</v>
      </c>
      <c r="N29" s="801"/>
      <c r="O29" s="801"/>
      <c r="P29" s="801"/>
      <c r="Q29" s="801"/>
      <c r="R29" s="801"/>
      <c r="S29" s="801"/>
      <c r="T29" s="801"/>
    </row>
    <row r="30" spans="1:20" ht="18.75" customHeight="1">
      <c r="A30" s="202"/>
      <c r="B30" s="803" t="s">
        <v>158</v>
      </c>
      <c r="C30" s="803"/>
      <c r="D30" s="803"/>
      <c r="E30" s="803"/>
      <c r="F30" s="205"/>
      <c r="G30" s="205"/>
      <c r="H30" s="205"/>
      <c r="I30" s="205"/>
      <c r="J30" s="205"/>
      <c r="K30" s="205"/>
      <c r="L30" s="206"/>
      <c r="M30" s="806" t="s">
        <v>159</v>
      </c>
      <c r="N30" s="806"/>
      <c r="O30" s="806"/>
      <c r="P30" s="806"/>
      <c r="Q30" s="806"/>
      <c r="R30" s="806"/>
      <c r="S30" s="806"/>
      <c r="T30" s="806"/>
    </row>
    <row r="31" spans="1:20" ht="18.75">
      <c r="A31" s="208"/>
      <c r="B31" s="758"/>
      <c r="C31" s="758"/>
      <c r="D31" s="758"/>
      <c r="E31" s="758"/>
      <c r="F31" s="209"/>
      <c r="G31" s="209"/>
      <c r="H31" s="209"/>
      <c r="I31" s="209"/>
      <c r="J31" s="209"/>
      <c r="K31" s="209"/>
      <c r="L31" s="209"/>
      <c r="M31" s="759"/>
      <c r="N31" s="759"/>
      <c r="O31" s="759"/>
      <c r="P31" s="759"/>
      <c r="Q31" s="759"/>
      <c r="R31" s="759"/>
      <c r="S31" s="759"/>
      <c r="T31" s="75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85" t="s">
        <v>292</v>
      </c>
      <c r="C33" s="785"/>
      <c r="D33" s="785"/>
      <c r="E33" s="785"/>
      <c r="F33" s="785"/>
      <c r="G33" s="259"/>
      <c r="H33" s="259"/>
      <c r="I33" s="259"/>
      <c r="J33" s="259"/>
      <c r="K33" s="259"/>
      <c r="L33" s="259"/>
      <c r="M33" s="259"/>
      <c r="N33" s="785" t="s">
        <v>292</v>
      </c>
      <c r="O33" s="785"/>
      <c r="P33" s="785"/>
      <c r="Q33" s="785"/>
      <c r="R33" s="785"/>
      <c r="S33" s="78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31" t="s">
        <v>248</v>
      </c>
      <c r="C35" s="631"/>
      <c r="D35" s="631"/>
      <c r="E35" s="631"/>
      <c r="F35" s="210"/>
      <c r="G35" s="210"/>
      <c r="H35" s="210"/>
      <c r="I35" s="182"/>
      <c r="J35" s="182"/>
      <c r="K35" s="182"/>
      <c r="L35" s="182"/>
      <c r="M35" s="632" t="s">
        <v>249</v>
      </c>
      <c r="N35" s="632"/>
      <c r="O35" s="632"/>
      <c r="P35" s="632"/>
      <c r="Q35" s="632"/>
      <c r="R35" s="632"/>
      <c r="S35" s="632"/>
      <c r="T35" s="63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29" t="s">
        <v>188</v>
      </c>
      <c r="B1" s="829"/>
      <c r="C1" s="829"/>
      <c r="D1" s="832" t="s">
        <v>365</v>
      </c>
      <c r="E1" s="832"/>
      <c r="F1" s="832"/>
      <c r="G1" s="832"/>
      <c r="H1" s="832"/>
      <c r="I1" s="832"/>
      <c r="J1" s="833" t="s">
        <v>366</v>
      </c>
      <c r="K1" s="834"/>
      <c r="L1" s="834"/>
    </row>
    <row r="2" spans="1:12" ht="34.5" customHeight="1">
      <c r="A2" s="835" t="s">
        <v>327</v>
      </c>
      <c r="B2" s="835"/>
      <c r="C2" s="835"/>
      <c r="D2" s="832"/>
      <c r="E2" s="832"/>
      <c r="F2" s="832"/>
      <c r="G2" s="832"/>
      <c r="H2" s="832"/>
      <c r="I2" s="832"/>
      <c r="J2" s="836" t="s">
        <v>367</v>
      </c>
      <c r="K2" s="837"/>
      <c r="L2" s="837"/>
    </row>
    <row r="3" spans="1:12" ht="15" customHeight="1">
      <c r="A3" s="265" t="s">
        <v>257</v>
      </c>
      <c r="B3" s="174"/>
      <c r="C3" s="838"/>
      <c r="D3" s="838"/>
      <c r="E3" s="838"/>
      <c r="F3" s="838"/>
      <c r="G3" s="838"/>
      <c r="H3" s="838"/>
      <c r="I3" s="838"/>
      <c r="J3" s="830"/>
      <c r="K3" s="831"/>
      <c r="L3" s="831"/>
    </row>
    <row r="4" spans="1:12" ht="15.75" customHeight="1">
      <c r="A4" s="266"/>
      <c r="B4" s="266"/>
      <c r="C4" s="267"/>
      <c r="D4" s="267"/>
      <c r="E4" s="170"/>
      <c r="F4" s="170"/>
      <c r="G4" s="170"/>
      <c r="H4" s="268"/>
      <c r="I4" s="268"/>
      <c r="J4" s="826" t="s">
        <v>189</v>
      </c>
      <c r="K4" s="826"/>
      <c r="L4" s="826"/>
    </row>
    <row r="5" spans="1:12" s="269" customFormat="1" ht="28.5" customHeight="1">
      <c r="A5" s="840" t="s">
        <v>57</v>
      </c>
      <c r="B5" s="840"/>
      <c r="C5" s="750" t="s">
        <v>31</v>
      </c>
      <c r="D5" s="750" t="s">
        <v>190</v>
      </c>
      <c r="E5" s="750"/>
      <c r="F5" s="750"/>
      <c r="G5" s="750"/>
      <c r="H5" s="750" t="s">
        <v>191</v>
      </c>
      <c r="I5" s="750"/>
      <c r="J5" s="750" t="s">
        <v>192</v>
      </c>
      <c r="K5" s="750"/>
      <c r="L5" s="750"/>
    </row>
    <row r="6" spans="1:13" s="269" customFormat="1" ht="80.25" customHeight="1">
      <c r="A6" s="840"/>
      <c r="B6" s="840"/>
      <c r="C6" s="750"/>
      <c r="D6" s="215" t="s">
        <v>193</v>
      </c>
      <c r="E6" s="215" t="s">
        <v>194</v>
      </c>
      <c r="F6" s="215" t="s">
        <v>328</v>
      </c>
      <c r="G6" s="215" t="s">
        <v>195</v>
      </c>
      <c r="H6" s="215" t="s">
        <v>196</v>
      </c>
      <c r="I6" s="215" t="s">
        <v>197</v>
      </c>
      <c r="J6" s="215" t="s">
        <v>198</v>
      </c>
      <c r="K6" s="215" t="s">
        <v>199</v>
      </c>
      <c r="L6" s="215" t="s">
        <v>200</v>
      </c>
      <c r="M6" s="270"/>
    </row>
    <row r="7" spans="1:12" s="271" customFormat="1" ht="16.5" customHeight="1">
      <c r="A7" s="827" t="s">
        <v>6</v>
      </c>
      <c r="B7" s="827"/>
      <c r="C7" s="221">
        <v>1</v>
      </c>
      <c r="D7" s="221">
        <v>2</v>
      </c>
      <c r="E7" s="221">
        <v>3</v>
      </c>
      <c r="F7" s="221">
        <v>4</v>
      </c>
      <c r="G7" s="221">
        <v>5</v>
      </c>
      <c r="H7" s="221">
        <v>6</v>
      </c>
      <c r="I7" s="221">
        <v>7</v>
      </c>
      <c r="J7" s="221">
        <v>8</v>
      </c>
      <c r="K7" s="221">
        <v>9</v>
      </c>
      <c r="L7" s="221">
        <v>10</v>
      </c>
    </row>
    <row r="8" spans="1:12" s="271" customFormat="1" ht="16.5" customHeight="1">
      <c r="A8" s="843" t="s">
        <v>325</v>
      </c>
      <c r="B8" s="844"/>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41" t="s">
        <v>301</v>
      </c>
      <c r="B9" s="842"/>
      <c r="C9" s="224">
        <v>9</v>
      </c>
      <c r="D9" s="224">
        <v>2</v>
      </c>
      <c r="E9" s="224">
        <v>2</v>
      </c>
      <c r="F9" s="224">
        <v>0</v>
      </c>
      <c r="G9" s="224">
        <v>5</v>
      </c>
      <c r="H9" s="224">
        <v>8</v>
      </c>
      <c r="I9" s="224">
        <v>0</v>
      </c>
      <c r="J9" s="224">
        <v>8</v>
      </c>
      <c r="K9" s="224">
        <v>1</v>
      </c>
      <c r="L9" s="224">
        <v>0</v>
      </c>
    </row>
    <row r="10" spans="1:12" s="271" customFormat="1" ht="16.5" customHeight="1">
      <c r="A10" s="828" t="s">
        <v>185</v>
      </c>
      <c r="B10" s="82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748" t="s">
        <v>330</v>
      </c>
      <c r="B25" s="748"/>
      <c r="C25" s="748"/>
      <c r="D25" s="748"/>
      <c r="E25" s="182"/>
      <c r="F25" s="755" t="s">
        <v>288</v>
      </c>
      <c r="G25" s="755"/>
      <c r="H25" s="755"/>
      <c r="I25" s="755"/>
      <c r="J25" s="755"/>
      <c r="K25" s="755"/>
      <c r="L25" s="755"/>
      <c r="AJ25" s="190" t="s">
        <v>286</v>
      </c>
    </row>
    <row r="26" spans="1:44" ht="15" customHeight="1">
      <c r="A26" s="761" t="s">
        <v>158</v>
      </c>
      <c r="B26" s="761"/>
      <c r="C26" s="761"/>
      <c r="D26" s="761"/>
      <c r="E26" s="183"/>
      <c r="F26" s="764" t="s">
        <v>159</v>
      </c>
      <c r="G26" s="764"/>
      <c r="H26" s="764"/>
      <c r="I26" s="764"/>
      <c r="J26" s="764"/>
      <c r="K26" s="764"/>
      <c r="L26" s="764"/>
      <c r="AR26" s="190"/>
    </row>
    <row r="27" spans="1:12" s="170" customFormat="1" ht="18.75">
      <c r="A27" s="758"/>
      <c r="B27" s="758"/>
      <c r="C27" s="758"/>
      <c r="D27" s="758"/>
      <c r="E27" s="182"/>
      <c r="F27" s="759"/>
      <c r="G27" s="759"/>
      <c r="H27" s="759"/>
      <c r="I27" s="759"/>
      <c r="J27" s="759"/>
      <c r="K27" s="759"/>
      <c r="L27" s="759"/>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839" t="s">
        <v>292</v>
      </c>
      <c r="C29" s="839"/>
      <c r="D29" s="182"/>
      <c r="E29" s="182"/>
      <c r="F29" s="182"/>
      <c r="G29" s="182"/>
      <c r="H29" s="839" t="s">
        <v>292</v>
      </c>
      <c r="I29" s="839"/>
      <c r="J29" s="839"/>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31" t="s">
        <v>248</v>
      </c>
      <c r="B37" s="631"/>
      <c r="C37" s="631"/>
      <c r="D37" s="631"/>
      <c r="E37" s="210"/>
      <c r="F37" s="632" t="s">
        <v>249</v>
      </c>
      <c r="G37" s="632"/>
      <c r="H37" s="632"/>
      <c r="I37" s="632"/>
      <c r="J37" s="632"/>
      <c r="K37" s="632"/>
      <c r="L37" s="632"/>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52" t="s">
        <v>206</v>
      </c>
      <c r="B1" s="852"/>
      <c r="C1" s="852"/>
      <c r="D1" s="832" t="s">
        <v>368</v>
      </c>
      <c r="E1" s="832"/>
      <c r="F1" s="832"/>
      <c r="G1" s="832"/>
      <c r="H1" s="832"/>
      <c r="I1" s="170"/>
      <c r="J1" s="171" t="s">
        <v>362</v>
      </c>
      <c r="K1" s="280"/>
      <c r="L1" s="280"/>
    </row>
    <row r="2" spans="1:12" ht="15.75" customHeight="1">
      <c r="A2" s="856" t="s">
        <v>303</v>
      </c>
      <c r="B2" s="856"/>
      <c r="C2" s="856"/>
      <c r="D2" s="832"/>
      <c r="E2" s="832"/>
      <c r="F2" s="832"/>
      <c r="G2" s="832"/>
      <c r="H2" s="832"/>
      <c r="I2" s="170"/>
      <c r="J2" s="281" t="s">
        <v>304</v>
      </c>
      <c r="K2" s="281"/>
      <c r="L2" s="281"/>
    </row>
    <row r="3" spans="1:12" ht="18.75" customHeight="1">
      <c r="A3" s="774" t="s">
        <v>255</v>
      </c>
      <c r="B3" s="774"/>
      <c r="C3" s="774"/>
      <c r="D3" s="167"/>
      <c r="E3" s="167"/>
      <c r="F3" s="167"/>
      <c r="G3" s="167"/>
      <c r="H3" s="167"/>
      <c r="I3" s="170"/>
      <c r="J3" s="174" t="s">
        <v>361</v>
      </c>
      <c r="K3" s="174"/>
      <c r="L3" s="174"/>
    </row>
    <row r="4" spans="1:12" ht="15.75" customHeight="1">
      <c r="A4" s="853" t="s">
        <v>331</v>
      </c>
      <c r="B4" s="853"/>
      <c r="C4" s="853"/>
      <c r="D4" s="851"/>
      <c r="E4" s="851"/>
      <c r="F4" s="851"/>
      <c r="G4" s="851"/>
      <c r="H4" s="851"/>
      <c r="I4" s="170"/>
      <c r="J4" s="282" t="s">
        <v>296</v>
      </c>
      <c r="K4" s="282"/>
      <c r="L4" s="282"/>
    </row>
    <row r="5" spans="1:12" ht="15.75">
      <c r="A5" s="857"/>
      <c r="B5" s="857"/>
      <c r="C5" s="166"/>
      <c r="D5" s="170"/>
      <c r="E5" s="170"/>
      <c r="F5" s="170"/>
      <c r="G5" s="170"/>
      <c r="H5" s="283"/>
      <c r="I5" s="849" t="s">
        <v>332</v>
      </c>
      <c r="J5" s="849"/>
      <c r="K5" s="849"/>
      <c r="L5" s="849"/>
    </row>
    <row r="6" spans="1:12" ht="18.75" customHeight="1">
      <c r="A6" s="766" t="s">
        <v>57</v>
      </c>
      <c r="B6" s="767"/>
      <c r="C6" s="845" t="s">
        <v>207</v>
      </c>
      <c r="D6" s="762" t="s">
        <v>208</v>
      </c>
      <c r="E6" s="850"/>
      <c r="F6" s="763"/>
      <c r="G6" s="762" t="s">
        <v>209</v>
      </c>
      <c r="H6" s="850"/>
      <c r="I6" s="850"/>
      <c r="J6" s="850"/>
      <c r="K6" s="850"/>
      <c r="L6" s="763"/>
    </row>
    <row r="7" spans="1:12" ht="15.75" customHeight="1">
      <c r="A7" s="768"/>
      <c r="B7" s="769"/>
      <c r="C7" s="846"/>
      <c r="D7" s="762" t="s">
        <v>7</v>
      </c>
      <c r="E7" s="850"/>
      <c r="F7" s="763"/>
      <c r="G7" s="845" t="s">
        <v>30</v>
      </c>
      <c r="H7" s="762" t="s">
        <v>7</v>
      </c>
      <c r="I7" s="850"/>
      <c r="J7" s="850"/>
      <c r="K7" s="850"/>
      <c r="L7" s="763"/>
    </row>
    <row r="8" spans="1:12" ht="14.25" customHeight="1">
      <c r="A8" s="768"/>
      <c r="B8" s="769"/>
      <c r="C8" s="846"/>
      <c r="D8" s="845" t="s">
        <v>210</v>
      </c>
      <c r="E8" s="845" t="s">
        <v>211</v>
      </c>
      <c r="F8" s="845" t="s">
        <v>212</v>
      </c>
      <c r="G8" s="846"/>
      <c r="H8" s="845" t="s">
        <v>213</v>
      </c>
      <c r="I8" s="845" t="s">
        <v>214</v>
      </c>
      <c r="J8" s="845" t="s">
        <v>215</v>
      </c>
      <c r="K8" s="845" t="s">
        <v>216</v>
      </c>
      <c r="L8" s="845" t="s">
        <v>217</v>
      </c>
    </row>
    <row r="9" spans="1:12" ht="77.25" customHeight="1">
      <c r="A9" s="770"/>
      <c r="B9" s="771"/>
      <c r="C9" s="847"/>
      <c r="D9" s="847"/>
      <c r="E9" s="847"/>
      <c r="F9" s="847"/>
      <c r="G9" s="847"/>
      <c r="H9" s="847"/>
      <c r="I9" s="847"/>
      <c r="J9" s="847"/>
      <c r="K9" s="847"/>
      <c r="L9" s="847"/>
    </row>
    <row r="10" spans="1:12" s="271" customFormat="1" ht="16.5" customHeight="1">
      <c r="A10" s="858" t="s">
        <v>6</v>
      </c>
      <c r="B10" s="859"/>
      <c r="C10" s="220">
        <v>1</v>
      </c>
      <c r="D10" s="220">
        <v>2</v>
      </c>
      <c r="E10" s="220">
        <v>3</v>
      </c>
      <c r="F10" s="220">
        <v>4</v>
      </c>
      <c r="G10" s="220">
        <v>5</v>
      </c>
      <c r="H10" s="220">
        <v>6</v>
      </c>
      <c r="I10" s="220">
        <v>7</v>
      </c>
      <c r="J10" s="220">
        <v>8</v>
      </c>
      <c r="K10" s="221" t="s">
        <v>63</v>
      </c>
      <c r="L10" s="221" t="s">
        <v>83</v>
      </c>
    </row>
    <row r="11" spans="1:12" s="271" customFormat="1" ht="16.5" customHeight="1">
      <c r="A11" s="862" t="s">
        <v>300</v>
      </c>
      <c r="B11" s="86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60" t="s">
        <v>301</v>
      </c>
      <c r="B12" s="861"/>
      <c r="C12" s="224">
        <v>12</v>
      </c>
      <c r="D12" s="224">
        <v>0</v>
      </c>
      <c r="E12" s="224">
        <v>1</v>
      </c>
      <c r="F12" s="224">
        <v>11</v>
      </c>
      <c r="G12" s="224">
        <v>10</v>
      </c>
      <c r="H12" s="224">
        <v>0</v>
      </c>
      <c r="I12" s="224">
        <v>0</v>
      </c>
      <c r="J12" s="224">
        <v>0</v>
      </c>
      <c r="K12" s="224">
        <v>6</v>
      </c>
      <c r="L12" s="224">
        <v>4</v>
      </c>
    </row>
    <row r="13" spans="1:32" s="271" customFormat="1" ht="16.5" customHeight="1">
      <c r="A13" s="854" t="s">
        <v>30</v>
      </c>
      <c r="B13" s="85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48" t="s">
        <v>288</v>
      </c>
      <c r="B28" s="748"/>
      <c r="C28" s="748"/>
      <c r="D28" s="748"/>
      <c r="E28" s="748"/>
      <c r="F28" s="182"/>
      <c r="G28" s="181"/>
      <c r="H28" s="294" t="s">
        <v>333</v>
      </c>
      <c r="I28" s="295"/>
      <c r="J28" s="295"/>
      <c r="K28" s="295"/>
      <c r="L28" s="295"/>
      <c r="AG28" s="233" t="s">
        <v>289</v>
      </c>
      <c r="AI28" s="190">
        <f>82/88</f>
        <v>0.9318181818181818</v>
      </c>
    </row>
    <row r="29" spans="1:12" ht="15" customHeight="1">
      <c r="A29" s="761" t="s">
        <v>4</v>
      </c>
      <c r="B29" s="761"/>
      <c r="C29" s="761"/>
      <c r="D29" s="761"/>
      <c r="E29" s="761"/>
      <c r="F29" s="182"/>
      <c r="G29" s="183"/>
      <c r="H29" s="764" t="s">
        <v>159</v>
      </c>
      <c r="I29" s="764"/>
      <c r="J29" s="764"/>
      <c r="K29" s="764"/>
      <c r="L29" s="764"/>
    </row>
    <row r="30" spans="1:14" s="170" customFormat="1" ht="18.75">
      <c r="A30" s="758"/>
      <c r="B30" s="758"/>
      <c r="C30" s="758"/>
      <c r="D30" s="758"/>
      <c r="E30" s="758"/>
      <c r="F30" s="296"/>
      <c r="G30" s="182"/>
      <c r="H30" s="759"/>
      <c r="I30" s="759"/>
      <c r="J30" s="759"/>
      <c r="K30" s="759"/>
      <c r="L30" s="759"/>
      <c r="M30" s="297"/>
      <c r="N30" s="297"/>
    </row>
    <row r="31" spans="1:12" ht="18">
      <c r="A31" s="182"/>
      <c r="B31" s="182"/>
      <c r="C31" s="182"/>
      <c r="D31" s="182"/>
      <c r="E31" s="182"/>
      <c r="F31" s="182"/>
      <c r="G31" s="182"/>
      <c r="H31" s="182"/>
      <c r="I31" s="182"/>
      <c r="J31" s="182"/>
      <c r="K31" s="182"/>
      <c r="L31" s="298"/>
    </row>
    <row r="32" spans="1:12" ht="18">
      <c r="A32" s="182"/>
      <c r="B32" s="839" t="s">
        <v>292</v>
      </c>
      <c r="C32" s="839"/>
      <c r="D32" s="839"/>
      <c r="E32" s="839"/>
      <c r="F32" s="182"/>
      <c r="G32" s="182"/>
      <c r="H32" s="182"/>
      <c r="I32" s="839" t="s">
        <v>292</v>
      </c>
      <c r="J32" s="839"/>
      <c r="K32" s="839"/>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48" t="s">
        <v>218</v>
      </c>
      <c r="C40" s="848"/>
      <c r="D40" s="848"/>
      <c r="E40" s="848"/>
      <c r="F40" s="848"/>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631" t="s">
        <v>334</v>
      </c>
      <c r="B43" s="631"/>
      <c r="C43" s="631"/>
      <c r="D43" s="631"/>
      <c r="E43" s="631"/>
      <c r="F43" s="182"/>
      <c r="G43" s="301"/>
      <c r="H43" s="632" t="s">
        <v>249</v>
      </c>
      <c r="I43" s="632"/>
      <c r="J43" s="632"/>
      <c r="K43" s="632"/>
      <c r="L43" s="632"/>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76" t="s">
        <v>221</v>
      </c>
      <c r="B1" s="776"/>
      <c r="C1" s="776"/>
      <c r="D1" s="776"/>
      <c r="E1" s="306"/>
      <c r="F1" s="772" t="s">
        <v>369</v>
      </c>
      <c r="G1" s="772"/>
      <c r="H1" s="772"/>
      <c r="I1" s="772"/>
      <c r="J1" s="772"/>
      <c r="K1" s="772"/>
      <c r="L1" s="772"/>
      <c r="M1" s="772"/>
      <c r="N1" s="772"/>
      <c r="O1" s="772"/>
      <c r="P1" s="307" t="s">
        <v>293</v>
      </c>
      <c r="Q1" s="308"/>
      <c r="R1" s="308"/>
      <c r="S1" s="308"/>
      <c r="T1" s="308"/>
    </row>
    <row r="2" spans="1:20" s="177" customFormat="1" ht="20.25" customHeight="1">
      <c r="A2" s="872" t="s">
        <v>303</v>
      </c>
      <c r="B2" s="872"/>
      <c r="C2" s="872"/>
      <c r="D2" s="872"/>
      <c r="E2" s="306"/>
      <c r="F2" s="772"/>
      <c r="G2" s="772"/>
      <c r="H2" s="772"/>
      <c r="I2" s="772"/>
      <c r="J2" s="772"/>
      <c r="K2" s="772"/>
      <c r="L2" s="772"/>
      <c r="M2" s="772"/>
      <c r="N2" s="772"/>
      <c r="O2" s="772"/>
      <c r="P2" s="308" t="s">
        <v>335</v>
      </c>
      <c r="Q2" s="308"/>
      <c r="R2" s="308"/>
      <c r="S2" s="308"/>
      <c r="T2" s="308"/>
    </row>
    <row r="3" spans="1:20" s="177" customFormat="1" ht="15" customHeight="1">
      <c r="A3" s="872" t="s">
        <v>255</v>
      </c>
      <c r="B3" s="872"/>
      <c r="C3" s="872"/>
      <c r="D3" s="872"/>
      <c r="E3" s="306"/>
      <c r="F3" s="772"/>
      <c r="G3" s="772"/>
      <c r="H3" s="772"/>
      <c r="I3" s="772"/>
      <c r="J3" s="772"/>
      <c r="K3" s="772"/>
      <c r="L3" s="772"/>
      <c r="M3" s="772"/>
      <c r="N3" s="772"/>
      <c r="O3" s="772"/>
      <c r="P3" s="307" t="s">
        <v>361</v>
      </c>
      <c r="Q3" s="307"/>
      <c r="R3" s="307"/>
      <c r="S3" s="309"/>
      <c r="T3" s="309"/>
    </row>
    <row r="4" spans="1:20" s="177" customFormat="1" ht="15.75" customHeight="1">
      <c r="A4" s="873" t="s">
        <v>336</v>
      </c>
      <c r="B4" s="873"/>
      <c r="C4" s="873"/>
      <c r="D4" s="873"/>
      <c r="E4" s="307"/>
      <c r="F4" s="772"/>
      <c r="G4" s="772"/>
      <c r="H4" s="772"/>
      <c r="I4" s="772"/>
      <c r="J4" s="772"/>
      <c r="K4" s="772"/>
      <c r="L4" s="772"/>
      <c r="M4" s="772"/>
      <c r="N4" s="772"/>
      <c r="O4" s="772"/>
      <c r="P4" s="308" t="s">
        <v>305</v>
      </c>
      <c r="Q4" s="307"/>
      <c r="R4" s="307"/>
      <c r="S4" s="309"/>
      <c r="T4" s="309"/>
    </row>
    <row r="5" spans="1:18" s="177" customFormat="1" ht="24" customHeight="1">
      <c r="A5" s="310"/>
      <c r="B5" s="310"/>
      <c r="C5" s="310"/>
      <c r="F5" s="867"/>
      <c r="G5" s="867"/>
      <c r="H5" s="867"/>
      <c r="I5" s="867"/>
      <c r="J5" s="867"/>
      <c r="K5" s="867"/>
      <c r="L5" s="867"/>
      <c r="M5" s="867"/>
      <c r="N5" s="867"/>
      <c r="O5" s="867"/>
      <c r="P5" s="311" t="s">
        <v>337</v>
      </c>
      <c r="Q5" s="312"/>
      <c r="R5" s="312"/>
    </row>
    <row r="6" spans="1:20" s="313" customFormat="1" ht="21.75" customHeight="1">
      <c r="A6" s="876" t="s">
        <v>57</v>
      </c>
      <c r="B6" s="877"/>
      <c r="C6" s="779" t="s">
        <v>31</v>
      </c>
      <c r="D6" s="782"/>
      <c r="E6" s="779" t="s">
        <v>7</v>
      </c>
      <c r="F6" s="864"/>
      <c r="G6" s="864"/>
      <c r="H6" s="864"/>
      <c r="I6" s="864"/>
      <c r="J6" s="864"/>
      <c r="K6" s="864"/>
      <c r="L6" s="864"/>
      <c r="M6" s="864"/>
      <c r="N6" s="864"/>
      <c r="O6" s="864"/>
      <c r="P6" s="864"/>
      <c r="Q6" s="864"/>
      <c r="R6" s="864"/>
      <c r="S6" s="864"/>
      <c r="T6" s="782"/>
    </row>
    <row r="7" spans="1:21" s="313" customFormat="1" ht="22.5" customHeight="1">
      <c r="A7" s="878"/>
      <c r="B7" s="879"/>
      <c r="C7" s="751" t="s">
        <v>338</v>
      </c>
      <c r="D7" s="751" t="s">
        <v>339</v>
      </c>
      <c r="E7" s="779" t="s">
        <v>222</v>
      </c>
      <c r="F7" s="870"/>
      <c r="G7" s="870"/>
      <c r="H7" s="870"/>
      <c r="I7" s="870"/>
      <c r="J7" s="870"/>
      <c r="K7" s="870"/>
      <c r="L7" s="871"/>
      <c r="M7" s="779" t="s">
        <v>340</v>
      </c>
      <c r="N7" s="864"/>
      <c r="O7" s="864"/>
      <c r="P7" s="864"/>
      <c r="Q7" s="864"/>
      <c r="R7" s="864"/>
      <c r="S7" s="864"/>
      <c r="T7" s="782"/>
      <c r="U7" s="314"/>
    </row>
    <row r="8" spans="1:20" s="313" customFormat="1" ht="42.75" customHeight="1">
      <c r="A8" s="878"/>
      <c r="B8" s="879"/>
      <c r="C8" s="752"/>
      <c r="D8" s="752"/>
      <c r="E8" s="750" t="s">
        <v>341</v>
      </c>
      <c r="F8" s="750"/>
      <c r="G8" s="779" t="s">
        <v>342</v>
      </c>
      <c r="H8" s="864"/>
      <c r="I8" s="864"/>
      <c r="J8" s="864"/>
      <c r="K8" s="864"/>
      <c r="L8" s="782"/>
      <c r="M8" s="750" t="s">
        <v>343</v>
      </c>
      <c r="N8" s="750"/>
      <c r="O8" s="779" t="s">
        <v>342</v>
      </c>
      <c r="P8" s="864"/>
      <c r="Q8" s="864"/>
      <c r="R8" s="864"/>
      <c r="S8" s="864"/>
      <c r="T8" s="782"/>
    </row>
    <row r="9" spans="1:20" s="313" customFormat="1" ht="35.25" customHeight="1">
      <c r="A9" s="878"/>
      <c r="B9" s="879"/>
      <c r="C9" s="752"/>
      <c r="D9" s="752"/>
      <c r="E9" s="751" t="s">
        <v>223</v>
      </c>
      <c r="F9" s="751" t="s">
        <v>224</v>
      </c>
      <c r="G9" s="868" t="s">
        <v>225</v>
      </c>
      <c r="H9" s="869"/>
      <c r="I9" s="868" t="s">
        <v>226</v>
      </c>
      <c r="J9" s="869"/>
      <c r="K9" s="868" t="s">
        <v>227</v>
      </c>
      <c r="L9" s="869"/>
      <c r="M9" s="751" t="s">
        <v>228</v>
      </c>
      <c r="N9" s="751" t="s">
        <v>224</v>
      </c>
      <c r="O9" s="868" t="s">
        <v>225</v>
      </c>
      <c r="P9" s="869"/>
      <c r="Q9" s="868" t="s">
        <v>229</v>
      </c>
      <c r="R9" s="869"/>
      <c r="S9" s="868" t="s">
        <v>230</v>
      </c>
      <c r="T9" s="869"/>
    </row>
    <row r="10" spans="1:20" s="313" customFormat="1" ht="25.5" customHeight="1">
      <c r="A10" s="868"/>
      <c r="B10" s="869"/>
      <c r="C10" s="753"/>
      <c r="D10" s="753"/>
      <c r="E10" s="753"/>
      <c r="F10" s="753"/>
      <c r="G10" s="215" t="s">
        <v>228</v>
      </c>
      <c r="H10" s="215" t="s">
        <v>224</v>
      </c>
      <c r="I10" s="219" t="s">
        <v>228</v>
      </c>
      <c r="J10" s="215" t="s">
        <v>224</v>
      </c>
      <c r="K10" s="219" t="s">
        <v>228</v>
      </c>
      <c r="L10" s="215" t="s">
        <v>224</v>
      </c>
      <c r="M10" s="753"/>
      <c r="N10" s="753"/>
      <c r="O10" s="215" t="s">
        <v>228</v>
      </c>
      <c r="P10" s="215" t="s">
        <v>224</v>
      </c>
      <c r="Q10" s="219" t="s">
        <v>228</v>
      </c>
      <c r="R10" s="215" t="s">
        <v>224</v>
      </c>
      <c r="S10" s="219" t="s">
        <v>228</v>
      </c>
      <c r="T10" s="215" t="s">
        <v>224</v>
      </c>
    </row>
    <row r="11" spans="1:32" s="222" customFormat="1" ht="12.75">
      <c r="A11" s="881" t="s">
        <v>6</v>
      </c>
      <c r="B11" s="88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883" t="s">
        <v>325</v>
      </c>
      <c r="B12" s="88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5" t="s">
        <v>301</v>
      </c>
      <c r="B13" s="866"/>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74" t="s">
        <v>30</v>
      </c>
      <c r="B14" s="87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748" t="s">
        <v>288</v>
      </c>
      <c r="C29" s="748"/>
      <c r="D29" s="748"/>
      <c r="E29" s="748"/>
      <c r="F29" s="748"/>
      <c r="G29" s="748"/>
      <c r="H29" s="181"/>
      <c r="I29" s="181"/>
      <c r="J29" s="182"/>
      <c r="K29" s="181"/>
      <c r="L29" s="755" t="s">
        <v>288</v>
      </c>
      <c r="M29" s="755"/>
      <c r="N29" s="755"/>
      <c r="O29" s="755"/>
      <c r="P29" s="755"/>
      <c r="Q29" s="755"/>
      <c r="R29" s="755"/>
      <c r="S29" s="755"/>
      <c r="T29" s="755"/>
    </row>
    <row r="30" spans="1:20" ht="15" customHeight="1">
      <c r="A30" s="180"/>
      <c r="B30" s="761" t="s">
        <v>35</v>
      </c>
      <c r="C30" s="761"/>
      <c r="D30" s="761"/>
      <c r="E30" s="761"/>
      <c r="F30" s="761"/>
      <c r="G30" s="761"/>
      <c r="H30" s="183"/>
      <c r="I30" s="183"/>
      <c r="J30" s="183"/>
      <c r="K30" s="183"/>
      <c r="L30" s="764" t="s">
        <v>247</v>
      </c>
      <c r="M30" s="764"/>
      <c r="N30" s="764"/>
      <c r="O30" s="764"/>
      <c r="P30" s="764"/>
      <c r="Q30" s="764"/>
      <c r="R30" s="764"/>
      <c r="S30" s="764"/>
      <c r="T30" s="764"/>
    </row>
    <row r="31" spans="1:20" s="320" customFormat="1" ht="18.75">
      <c r="A31" s="318"/>
      <c r="B31" s="758"/>
      <c r="C31" s="758"/>
      <c r="D31" s="758"/>
      <c r="E31" s="758"/>
      <c r="F31" s="758"/>
      <c r="G31" s="319"/>
      <c r="H31" s="319"/>
      <c r="I31" s="319"/>
      <c r="J31" s="319"/>
      <c r="K31" s="319"/>
      <c r="L31" s="759"/>
      <c r="M31" s="759"/>
      <c r="N31" s="759"/>
      <c r="O31" s="759"/>
      <c r="P31" s="759"/>
      <c r="Q31" s="759"/>
      <c r="R31" s="759"/>
      <c r="S31" s="759"/>
      <c r="T31" s="75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80" t="s">
        <v>292</v>
      </c>
      <c r="C33" s="880"/>
      <c r="D33" s="880"/>
      <c r="E33" s="880"/>
      <c r="F33" s="880"/>
      <c r="G33" s="321"/>
      <c r="H33" s="321"/>
      <c r="I33" s="321"/>
      <c r="J33" s="321"/>
      <c r="K33" s="321"/>
      <c r="L33" s="321"/>
      <c r="M33" s="321"/>
      <c r="N33" s="321"/>
      <c r="O33" s="880" t="s">
        <v>292</v>
      </c>
      <c r="P33" s="880"/>
      <c r="Q33" s="88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31" t="s">
        <v>248</v>
      </c>
      <c r="C39" s="631"/>
      <c r="D39" s="631"/>
      <c r="E39" s="631"/>
      <c r="F39" s="631"/>
      <c r="G39" s="631"/>
      <c r="H39" s="182"/>
      <c r="I39" s="182"/>
      <c r="J39" s="182"/>
      <c r="K39" s="182"/>
      <c r="L39" s="632" t="s">
        <v>249</v>
      </c>
      <c r="M39" s="632"/>
      <c r="N39" s="632"/>
      <c r="O39" s="632"/>
      <c r="P39" s="632"/>
      <c r="Q39" s="632"/>
      <c r="R39" s="632"/>
      <c r="S39" s="632"/>
      <c r="T39" s="63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2019-09-04T00:31:43Z</cp:lastPrinted>
  <dcterms:created xsi:type="dcterms:W3CDTF">2004-03-07T02:36:29Z</dcterms:created>
  <dcterms:modified xsi:type="dcterms:W3CDTF">2019-09-04T01:35:15Z</dcterms:modified>
  <cp:category/>
  <cp:version/>
  <cp:contentType/>
  <cp:contentStatus/>
</cp:coreProperties>
</file>